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omments11.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2.xml" ContentType="application/vnd.openxmlformats-officedocument.drawing+xml"/>
  <Override PartName="/xl/comments12.xml" ContentType="application/vnd.openxmlformats-officedocument.spreadsheetml.comment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omments13.xml" ContentType="application/vnd.openxmlformats-officedocument.spreadsheetml.comment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4.xml" ContentType="application/vnd.openxmlformats-officedocument.drawing+xml"/>
  <Override PartName="/xl/comments14.xml" ContentType="application/vnd.openxmlformats-officedocument.spreadsheetml.comment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2025\KT\20251118\"/>
    </mc:Choice>
  </mc:AlternateContent>
  <xr:revisionPtr revIDLastSave="0" documentId="8_{7B5F1B8F-35C5-4E4D-84DD-A76AC934FDC4}" xr6:coauthVersionLast="36" xr6:coauthVersionMax="36" xr10:uidLastSave="{00000000-0000-0000-0000-000000000000}"/>
  <bookViews>
    <workbookView xWindow="0" yWindow="0" windowWidth="23040" windowHeight="8790" firstSheet="11" activeTab="13" xr2:uid="{00000000-000D-0000-FFFF-FFFF00000000}"/>
  </bookViews>
  <sheets>
    <sheet name="Eredeti Terv 23" sheetId="4" state="hidden" r:id="rId1"/>
    <sheet name="KV MÓD I. 23" sheetId="5" state="hidden" r:id="rId2"/>
    <sheet name="KV MÓD II. 23" sheetId="6" state="hidden" r:id="rId3"/>
    <sheet name="KV MÓD III. 23" sheetId="7" state="hidden" r:id="rId4"/>
    <sheet name="KONCEPCIÓ 24" sheetId="8" state="hidden" r:id="rId5"/>
    <sheet name="2024.I. módosítás" sheetId="10" state="hidden" r:id="rId6"/>
    <sheet name="KV 24" sheetId="9" state="hidden" r:id="rId7"/>
    <sheet name="2024 év KV. I. módosítás (2)" sheetId="12" state="hidden" r:id="rId8"/>
    <sheet name="2024 év KV. II. módosítás (3)" sheetId="13" state="hidden" r:id="rId9"/>
    <sheet name="2024 év KV. III. módosítás (4)" sheetId="15" state="hidden" r:id="rId10"/>
    <sheet name="KONCEPCIÓ 2025.év (2)" sheetId="16" state="hidden" r:id="rId11"/>
    <sheet name=" 2025.év I.mód." sheetId="18" r:id="rId12"/>
    <sheet name=" 2025.év II.mód. (2)" sheetId="20" r:id="rId13"/>
    <sheet name=" 2025.év III.mód." sheetId="19" r:id="rId14"/>
  </sheets>
  <definedNames>
    <definedName name="_xlnm.Print_Area" localSheetId="11">' 2025.év I.mód.'!$A$1:$K$129</definedName>
    <definedName name="_xlnm.Print_Area" localSheetId="12">' 2025.év II.mód. (2)'!$A$1:$K$129</definedName>
    <definedName name="_xlnm.Print_Area" localSheetId="13">' 2025.év III.mód.'!$A$1:$K$129</definedName>
    <definedName name="_xlnm.Print_Area" localSheetId="7">'2024 év KV. I. módosítás (2)'!$A$1:$K$129</definedName>
    <definedName name="_xlnm.Print_Area" localSheetId="8">'2024 év KV. II. módosítás (3)'!$A$1:$K$129</definedName>
    <definedName name="_xlnm.Print_Area" localSheetId="9">'2024 év KV. III. módosítás (4)'!$A$1:$K$129</definedName>
    <definedName name="_xlnm.Print_Area" localSheetId="5">'2024.I. módosítás'!$A$1:$K$129</definedName>
    <definedName name="_xlnm.Print_Area" localSheetId="0">'Eredeti Terv 23'!$A$1:$K$127</definedName>
    <definedName name="_xlnm.Print_Area" localSheetId="10">'KONCEPCIÓ 2025.év (2)'!$A$1:$K$129</definedName>
    <definedName name="_xlnm.Print_Area" localSheetId="4">'KONCEPCIÓ 24'!$A$1:$K$129</definedName>
    <definedName name="_xlnm.Print_Area" localSheetId="6">'KV 24'!$A$1:$K$129</definedName>
    <definedName name="_xlnm.Print_Area" localSheetId="1">'KV MÓD I. 23'!$A$1:$K$129</definedName>
    <definedName name="_xlnm.Print_Area" localSheetId="2">'KV MÓD II. 23'!$A$1:$K$129</definedName>
    <definedName name="_xlnm.Print_Area" localSheetId="3">'KV MÓD III. 23'!$A$1:$K$129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5" i="19" l="1"/>
  <c r="C67" i="19"/>
  <c r="F67" i="19"/>
  <c r="C10" i="19"/>
  <c r="H81" i="19"/>
  <c r="H13" i="19" l="1"/>
  <c r="D13" i="19"/>
  <c r="D12" i="19"/>
  <c r="C81" i="19"/>
  <c r="H12" i="19"/>
  <c r="C17" i="19"/>
  <c r="F81" i="19" l="1"/>
  <c r="C33" i="19"/>
  <c r="H33" i="19"/>
  <c r="F73" i="19" l="1"/>
  <c r="C85" i="19"/>
  <c r="C70" i="19"/>
  <c r="F75" i="19"/>
  <c r="C30" i="19"/>
  <c r="H17" i="19"/>
  <c r="D9" i="19"/>
  <c r="H9" i="19"/>
  <c r="C9" i="19"/>
  <c r="D96" i="20" l="1"/>
  <c r="D101" i="20" s="1"/>
  <c r="G86" i="20"/>
  <c r="J86" i="20" s="1"/>
  <c r="I85" i="20"/>
  <c r="H85" i="20"/>
  <c r="H77" i="20" s="1"/>
  <c r="C85" i="20"/>
  <c r="G84" i="20"/>
  <c r="J84" i="20" s="1"/>
  <c r="G83" i="20"/>
  <c r="J83" i="20" s="1"/>
  <c r="G82" i="20"/>
  <c r="J82" i="20" s="1"/>
  <c r="I81" i="20"/>
  <c r="H81" i="20"/>
  <c r="F81" i="20"/>
  <c r="D81" i="20"/>
  <c r="D77" i="20" s="1"/>
  <c r="C81" i="20"/>
  <c r="G80" i="20"/>
  <c r="J80" i="20" s="1"/>
  <c r="G79" i="20"/>
  <c r="J79" i="20" s="1"/>
  <c r="G78" i="20"/>
  <c r="J78" i="20" s="1"/>
  <c r="F77" i="20"/>
  <c r="G76" i="20"/>
  <c r="F75" i="20"/>
  <c r="G75" i="20" s="1"/>
  <c r="G74" i="20"/>
  <c r="F73" i="20"/>
  <c r="F72" i="20" s="1"/>
  <c r="C72" i="20"/>
  <c r="C70" i="20"/>
  <c r="C69" i="20"/>
  <c r="C66" i="20" s="1"/>
  <c r="D68" i="20"/>
  <c r="G68" i="20" s="1"/>
  <c r="F67" i="20"/>
  <c r="C67" i="20"/>
  <c r="G61" i="20"/>
  <c r="F61" i="20" s="1"/>
  <c r="G60" i="20"/>
  <c r="F60" i="20" s="1"/>
  <c r="J59" i="20"/>
  <c r="G59" i="20"/>
  <c r="F59" i="20"/>
  <c r="J58" i="20"/>
  <c r="G58" i="20"/>
  <c r="F58" i="20" s="1"/>
  <c r="J57" i="20"/>
  <c r="I57" i="20"/>
  <c r="H57" i="20"/>
  <c r="D57" i="20"/>
  <c r="C57" i="20"/>
  <c r="G56" i="20"/>
  <c r="F56" i="20" s="1"/>
  <c r="G55" i="20"/>
  <c r="F55" i="20"/>
  <c r="G54" i="20"/>
  <c r="F54" i="20" s="1"/>
  <c r="H53" i="20"/>
  <c r="G53" i="20"/>
  <c r="F53" i="20" s="1"/>
  <c r="J52" i="20"/>
  <c r="I52" i="20"/>
  <c r="H52" i="20"/>
  <c r="G52" i="20" s="1"/>
  <c r="D52" i="20"/>
  <c r="C52" i="20"/>
  <c r="G44" i="20"/>
  <c r="F44" i="20" s="1"/>
  <c r="G43" i="20"/>
  <c r="F43" i="20"/>
  <c r="G42" i="20"/>
  <c r="F42" i="20" s="1"/>
  <c r="I41" i="20"/>
  <c r="I40" i="20" s="1"/>
  <c r="G41" i="20"/>
  <c r="F41" i="20" s="1"/>
  <c r="J40" i="20"/>
  <c r="H40" i="20"/>
  <c r="D40" i="20"/>
  <c r="C40" i="20"/>
  <c r="G38" i="20"/>
  <c r="F38" i="20"/>
  <c r="H37" i="20"/>
  <c r="G37" i="20" s="1"/>
  <c r="F37" i="20" s="1"/>
  <c r="I36" i="20"/>
  <c r="H36" i="20"/>
  <c r="H34" i="20" s="1"/>
  <c r="D36" i="20"/>
  <c r="H35" i="20"/>
  <c r="G35" i="20"/>
  <c r="D35" i="20"/>
  <c r="J34" i="20"/>
  <c r="C34" i="20"/>
  <c r="H33" i="20"/>
  <c r="G33" i="20" s="1"/>
  <c r="C33" i="20"/>
  <c r="C31" i="20" s="1"/>
  <c r="G32" i="20"/>
  <c r="F32" i="20" s="1"/>
  <c r="J31" i="20"/>
  <c r="I31" i="20"/>
  <c r="D31" i="20"/>
  <c r="H30" i="20"/>
  <c r="G30" i="20"/>
  <c r="C30" i="20"/>
  <c r="C27" i="20" s="1"/>
  <c r="G29" i="20"/>
  <c r="F29" i="20" s="1"/>
  <c r="G28" i="20"/>
  <c r="F28" i="20"/>
  <c r="J27" i="20"/>
  <c r="I27" i="20"/>
  <c r="H27" i="20"/>
  <c r="G27" i="20"/>
  <c r="F27" i="20" s="1"/>
  <c r="D27" i="20"/>
  <c r="J26" i="20"/>
  <c r="I26" i="20"/>
  <c r="I21" i="20" s="1"/>
  <c r="G21" i="20" s="1"/>
  <c r="G26" i="20"/>
  <c r="F26" i="20" s="1"/>
  <c r="J25" i="20"/>
  <c r="J21" i="20" s="1"/>
  <c r="I25" i="20"/>
  <c r="G25" i="20"/>
  <c r="F25" i="20" s="1"/>
  <c r="G24" i="20"/>
  <c r="F24" i="20" s="1"/>
  <c r="G23" i="20"/>
  <c r="F23" i="20" s="1"/>
  <c r="C23" i="20"/>
  <c r="C21" i="20" s="1"/>
  <c r="G22" i="20"/>
  <c r="F22" i="20"/>
  <c r="H21" i="20"/>
  <c r="D21" i="20"/>
  <c r="J20" i="20"/>
  <c r="G20" i="20"/>
  <c r="F20" i="20" s="1"/>
  <c r="H19" i="20"/>
  <c r="G19" i="20"/>
  <c r="D19" i="20"/>
  <c r="H18" i="20"/>
  <c r="G18" i="20"/>
  <c r="D18" i="20"/>
  <c r="D16" i="20" s="1"/>
  <c r="H17" i="20"/>
  <c r="G17" i="20" s="1"/>
  <c r="C17" i="20"/>
  <c r="J16" i="20"/>
  <c r="I16" i="20"/>
  <c r="H15" i="20"/>
  <c r="G15" i="20" s="1"/>
  <c r="F15" i="20" s="1"/>
  <c r="D15" i="20"/>
  <c r="H14" i="20"/>
  <c r="G14" i="20" s="1"/>
  <c r="F14" i="20" s="1"/>
  <c r="H13" i="20"/>
  <c r="G13" i="20"/>
  <c r="D13" i="20"/>
  <c r="H12" i="20"/>
  <c r="G12" i="20"/>
  <c r="F12" i="20"/>
  <c r="D12" i="20"/>
  <c r="C12" i="20"/>
  <c r="J11" i="20"/>
  <c r="I11" i="20"/>
  <c r="D11" i="20"/>
  <c r="C11" i="20"/>
  <c r="H10" i="20"/>
  <c r="G10" i="20"/>
  <c r="F10" i="20" s="1"/>
  <c r="D10" i="20"/>
  <c r="H9" i="20"/>
  <c r="H8" i="20" s="1"/>
  <c r="G8" i="20" s="1"/>
  <c r="G9" i="20"/>
  <c r="F9" i="20" s="1"/>
  <c r="D9" i="20"/>
  <c r="C9" i="20"/>
  <c r="J8" i="20"/>
  <c r="I8" i="20"/>
  <c r="D8" i="20"/>
  <c r="C8" i="20"/>
  <c r="F30" i="20" l="1"/>
  <c r="D34" i="20"/>
  <c r="G40" i="20"/>
  <c r="F40" i="20" s="1"/>
  <c r="D66" i="20"/>
  <c r="H16" i="20"/>
  <c r="G16" i="20" s="1"/>
  <c r="F35" i="20"/>
  <c r="G36" i="20"/>
  <c r="F36" i="20" s="1"/>
  <c r="F17" i="20"/>
  <c r="F33" i="20"/>
  <c r="E96" i="20" s="1"/>
  <c r="F96" i="20" s="1"/>
  <c r="F19" i="20"/>
  <c r="G67" i="20"/>
  <c r="I77" i="20"/>
  <c r="C77" i="20"/>
  <c r="D62" i="20"/>
  <c r="E110" i="20"/>
  <c r="J62" i="20"/>
  <c r="E106" i="20"/>
  <c r="F21" i="20"/>
  <c r="F8" i="20"/>
  <c r="E103" i="20"/>
  <c r="E111" i="20"/>
  <c r="F52" i="20"/>
  <c r="G72" i="20"/>
  <c r="G77" i="20"/>
  <c r="H31" i="20"/>
  <c r="G31" i="20" s="1"/>
  <c r="C16" i="20"/>
  <c r="C62" i="20" s="1"/>
  <c r="F18" i="20"/>
  <c r="G57" i="20"/>
  <c r="G69" i="20"/>
  <c r="G73" i="20"/>
  <c r="G85" i="20"/>
  <c r="J85" i="20" s="1"/>
  <c r="E107" i="20"/>
  <c r="I34" i="20"/>
  <c r="G81" i="20"/>
  <c r="J81" i="20" s="1"/>
  <c r="J77" i="20" s="1"/>
  <c r="E105" i="20"/>
  <c r="H11" i="20"/>
  <c r="G11" i="20" s="1"/>
  <c r="E95" i="20" l="1"/>
  <c r="F95" i="20" s="1"/>
  <c r="G95" i="20" s="1"/>
  <c r="I90" i="20" s="1"/>
  <c r="F70" i="20"/>
  <c r="E104" i="20"/>
  <c r="F11" i="20"/>
  <c r="I62" i="20"/>
  <c r="G34" i="20"/>
  <c r="F31" i="20"/>
  <c r="E108" i="20"/>
  <c r="H62" i="20"/>
  <c r="G62" i="20"/>
  <c r="E112" i="20"/>
  <c r="F57" i="20"/>
  <c r="G90" i="20"/>
  <c r="I112" i="20"/>
  <c r="F16" i="20"/>
  <c r="I111" i="20"/>
  <c r="G89" i="20"/>
  <c r="D81" i="19"/>
  <c r="D10" i="19"/>
  <c r="F81" i="18"/>
  <c r="D81" i="18"/>
  <c r="D19" i="19"/>
  <c r="G87" i="20" l="1"/>
  <c r="F62" i="20"/>
  <c r="G63" i="20" s="1"/>
  <c r="F34" i="20"/>
  <c r="E109" i="20"/>
  <c r="E113" i="20" s="1"/>
  <c r="I109" i="20" s="1"/>
  <c r="G70" i="20"/>
  <c r="G66" i="20" s="1"/>
  <c r="F66" i="20"/>
  <c r="H15" i="19"/>
  <c r="D15" i="19"/>
  <c r="I110" i="20" l="1"/>
  <c r="I113" i="20" s="1"/>
  <c r="G88" i="20"/>
  <c r="H87" i="20" s="1"/>
  <c r="H53" i="19"/>
  <c r="D68" i="19"/>
  <c r="C12" i="19"/>
  <c r="D96" i="19" l="1"/>
  <c r="D101" i="19" s="1"/>
  <c r="G86" i="19"/>
  <c r="J86" i="19" s="1"/>
  <c r="I85" i="19"/>
  <c r="I77" i="19" s="1"/>
  <c r="G85" i="19"/>
  <c r="G84" i="19"/>
  <c r="J84" i="19" s="1"/>
  <c r="G83" i="19"/>
  <c r="J83" i="19" s="1"/>
  <c r="G82" i="19"/>
  <c r="J82" i="19" s="1"/>
  <c r="I81" i="19"/>
  <c r="G80" i="19"/>
  <c r="J80" i="19" s="1"/>
  <c r="G79" i="19"/>
  <c r="J79" i="19" s="1"/>
  <c r="G78" i="19"/>
  <c r="J78" i="19" s="1"/>
  <c r="H77" i="19"/>
  <c r="F77" i="19"/>
  <c r="D77" i="19"/>
  <c r="G76" i="19"/>
  <c r="G75" i="19"/>
  <c r="G74" i="19"/>
  <c r="F72" i="19"/>
  <c r="C72" i="19"/>
  <c r="C69" i="19"/>
  <c r="G69" i="19" s="1"/>
  <c r="G68" i="19"/>
  <c r="G67" i="19"/>
  <c r="D66" i="19"/>
  <c r="G61" i="19"/>
  <c r="F61" i="19" s="1"/>
  <c r="G60" i="19"/>
  <c r="F60" i="19"/>
  <c r="J59" i="19"/>
  <c r="G59" i="19"/>
  <c r="F59" i="19"/>
  <c r="J58" i="19"/>
  <c r="G58" i="19"/>
  <c r="F58" i="19" s="1"/>
  <c r="I57" i="19"/>
  <c r="H57" i="19"/>
  <c r="D57" i="19"/>
  <c r="C57" i="19"/>
  <c r="G56" i="19"/>
  <c r="F56" i="19" s="1"/>
  <c r="G55" i="19"/>
  <c r="F55" i="19" s="1"/>
  <c r="G54" i="19"/>
  <c r="F54" i="19" s="1"/>
  <c r="G53" i="19"/>
  <c r="F53" i="19" s="1"/>
  <c r="J52" i="19"/>
  <c r="I52" i="19"/>
  <c r="D52" i="19"/>
  <c r="C52" i="19"/>
  <c r="G44" i="19"/>
  <c r="F44" i="19"/>
  <c r="G43" i="19"/>
  <c r="F43" i="19" s="1"/>
  <c r="G42" i="19"/>
  <c r="F42" i="19"/>
  <c r="I41" i="19"/>
  <c r="G41" i="19" s="1"/>
  <c r="F41" i="19" s="1"/>
  <c r="J40" i="19"/>
  <c r="H40" i="19"/>
  <c r="D40" i="19"/>
  <c r="C40" i="19"/>
  <c r="G38" i="19"/>
  <c r="F38" i="19"/>
  <c r="H37" i="19"/>
  <c r="G37" i="19" s="1"/>
  <c r="F37" i="19" s="1"/>
  <c r="I36" i="19"/>
  <c r="I34" i="19" s="1"/>
  <c r="H36" i="19"/>
  <c r="D36" i="19"/>
  <c r="H35" i="19"/>
  <c r="G35" i="19" s="1"/>
  <c r="D35" i="19"/>
  <c r="J34" i="19"/>
  <c r="C34" i="19"/>
  <c r="G33" i="19"/>
  <c r="F33" i="19" s="1"/>
  <c r="G32" i="19"/>
  <c r="F32" i="19" s="1"/>
  <c r="J31" i="19"/>
  <c r="I31" i="19"/>
  <c r="H31" i="19"/>
  <c r="D31" i="19"/>
  <c r="C31" i="19"/>
  <c r="H30" i="19"/>
  <c r="G30" i="19" s="1"/>
  <c r="C27" i="19"/>
  <c r="G29" i="19"/>
  <c r="F29" i="19" s="1"/>
  <c r="G28" i="19"/>
  <c r="F28" i="19"/>
  <c r="J27" i="19"/>
  <c r="I27" i="19"/>
  <c r="D27" i="19"/>
  <c r="J26" i="19"/>
  <c r="I26" i="19"/>
  <c r="G26" i="19" s="1"/>
  <c r="F26" i="19" s="1"/>
  <c r="J25" i="19"/>
  <c r="I25" i="19"/>
  <c r="G25" i="19" s="1"/>
  <c r="F25" i="19" s="1"/>
  <c r="G24" i="19"/>
  <c r="F24" i="19" s="1"/>
  <c r="G23" i="19"/>
  <c r="C23" i="19"/>
  <c r="C21" i="19" s="1"/>
  <c r="G22" i="19"/>
  <c r="F22" i="19" s="1"/>
  <c r="H21" i="19"/>
  <c r="D21" i="19"/>
  <c r="J20" i="19"/>
  <c r="J16" i="19" s="1"/>
  <c r="G20" i="19"/>
  <c r="F20" i="19"/>
  <c r="H19" i="19"/>
  <c r="G19" i="19" s="1"/>
  <c r="F19" i="19" s="1"/>
  <c r="H18" i="19"/>
  <c r="G18" i="19" s="1"/>
  <c r="D18" i="19"/>
  <c r="D16" i="19" s="1"/>
  <c r="G17" i="19"/>
  <c r="C16" i="19"/>
  <c r="I16" i="19"/>
  <c r="G15" i="19"/>
  <c r="F15" i="19" s="1"/>
  <c r="H14" i="19"/>
  <c r="G14" i="19" s="1"/>
  <c r="F14" i="19" s="1"/>
  <c r="G13" i="19"/>
  <c r="D11" i="19"/>
  <c r="G12" i="19"/>
  <c r="F12" i="19" s="1"/>
  <c r="J11" i="19"/>
  <c r="I11" i="19"/>
  <c r="C11" i="19"/>
  <c r="H10" i="19"/>
  <c r="H8" i="19" s="1"/>
  <c r="G9" i="19"/>
  <c r="C8" i="19"/>
  <c r="J8" i="19"/>
  <c r="I8" i="19"/>
  <c r="G8" i="19" l="1"/>
  <c r="H11" i="19"/>
  <c r="G11" i="19" s="1"/>
  <c r="J21" i="19"/>
  <c r="J62" i="19" s="1"/>
  <c r="G36" i="19"/>
  <c r="I40" i="19"/>
  <c r="J85" i="19"/>
  <c r="G10" i="19"/>
  <c r="F10" i="19" s="1"/>
  <c r="F9" i="19"/>
  <c r="F35" i="19"/>
  <c r="F23" i="19"/>
  <c r="D8" i="19"/>
  <c r="F8" i="19" s="1"/>
  <c r="G31" i="19"/>
  <c r="E108" i="19" s="1"/>
  <c r="D34" i="19"/>
  <c r="G57" i="19"/>
  <c r="E112" i="19" s="1"/>
  <c r="G72" i="19"/>
  <c r="I111" i="19" s="1"/>
  <c r="C77" i="19"/>
  <c r="G77" i="19" s="1"/>
  <c r="I112" i="19" s="1"/>
  <c r="F17" i="19"/>
  <c r="C66" i="19"/>
  <c r="G40" i="19"/>
  <c r="E110" i="19" s="1"/>
  <c r="J57" i="19"/>
  <c r="F18" i="19"/>
  <c r="F36" i="19"/>
  <c r="F30" i="19"/>
  <c r="E103" i="19"/>
  <c r="F11" i="19"/>
  <c r="E104" i="19"/>
  <c r="C62" i="19"/>
  <c r="I21" i="19"/>
  <c r="G21" i="19" s="1"/>
  <c r="I62" i="19"/>
  <c r="H16" i="19"/>
  <c r="G16" i="19" s="1"/>
  <c r="H27" i="19"/>
  <c r="G27" i="19" s="1"/>
  <c r="H34" i="19"/>
  <c r="G34" i="19" s="1"/>
  <c r="G73" i="19"/>
  <c r="G81" i="19"/>
  <c r="J81" i="19" s="1"/>
  <c r="J77" i="19" s="1"/>
  <c r="H52" i="19"/>
  <c r="H81" i="18"/>
  <c r="H85" i="18"/>
  <c r="C85" i="18"/>
  <c r="E96" i="19" l="1"/>
  <c r="F96" i="19" s="1"/>
  <c r="G89" i="19"/>
  <c r="F40" i="19"/>
  <c r="F31" i="19"/>
  <c r="E95" i="19"/>
  <c r="F95" i="19" s="1"/>
  <c r="F57" i="19"/>
  <c r="D62" i="19"/>
  <c r="G90" i="19"/>
  <c r="E106" i="19"/>
  <c r="F21" i="19"/>
  <c r="G52" i="19"/>
  <c r="H62" i="19"/>
  <c r="F34" i="19"/>
  <c r="E109" i="19"/>
  <c r="F27" i="19"/>
  <c r="E107" i="19"/>
  <c r="E105" i="19"/>
  <c r="F16" i="19"/>
  <c r="C70" i="18"/>
  <c r="H14" i="18"/>
  <c r="G95" i="19" l="1"/>
  <c r="I90" i="19" s="1"/>
  <c r="E111" i="19"/>
  <c r="E113" i="19" s="1"/>
  <c r="I109" i="19" s="1"/>
  <c r="F52" i="19"/>
  <c r="G62" i="19"/>
  <c r="H9" i="18"/>
  <c r="D9" i="18"/>
  <c r="F73" i="18"/>
  <c r="F70" i="19" l="1"/>
  <c r="F66" i="19" s="1"/>
  <c r="G87" i="19"/>
  <c r="F62" i="19"/>
  <c r="G63" i="19" s="1"/>
  <c r="H10" i="18"/>
  <c r="F67" i="18"/>
  <c r="C81" i="18"/>
  <c r="H13" i="18"/>
  <c r="D13" i="18"/>
  <c r="G70" i="19" l="1"/>
  <c r="H33" i="18"/>
  <c r="C33" i="18"/>
  <c r="G66" i="19" l="1"/>
  <c r="I110" i="19" s="1"/>
  <c r="I113" i="19" s="1"/>
  <c r="M70" i="19"/>
  <c r="D68" i="18"/>
  <c r="H12" i="18"/>
  <c r="F75" i="18"/>
  <c r="G88" i="19" l="1"/>
  <c r="H87" i="19" s="1"/>
  <c r="C9" i="18"/>
  <c r="C67" i="18"/>
  <c r="H53" i="18"/>
  <c r="H19" i="18"/>
  <c r="H37" i="18"/>
  <c r="D10" i="18"/>
  <c r="J59" i="18" l="1"/>
  <c r="J58" i="18"/>
  <c r="G14" i="18" l="1"/>
  <c r="F14" i="18" s="1"/>
  <c r="D18" i="18" l="1"/>
  <c r="H17" i="18" l="1"/>
  <c r="C69" i="18" l="1"/>
  <c r="C72" i="18" l="1"/>
  <c r="C17" i="18" l="1"/>
  <c r="C30" i="18" l="1"/>
  <c r="I36" i="18" l="1"/>
  <c r="D96" i="18" l="1"/>
  <c r="H30" i="18" l="1"/>
  <c r="H36" i="18" l="1"/>
  <c r="I85" i="18" l="1"/>
  <c r="I81" i="18"/>
  <c r="H35" i="18" l="1"/>
  <c r="D35" i="18"/>
  <c r="C23" i="18" l="1"/>
  <c r="I25" i="18" l="1"/>
  <c r="J25" i="18" l="1"/>
  <c r="J26" i="18"/>
  <c r="J20" i="18"/>
  <c r="I41" i="18"/>
  <c r="I26" i="18"/>
  <c r="D11" i="18" l="1"/>
  <c r="G10" i="18"/>
  <c r="D36" i="18"/>
  <c r="D34" i="18" s="1"/>
  <c r="G69" i="18"/>
  <c r="D101" i="18"/>
  <c r="G86" i="18"/>
  <c r="J86" i="18" s="1"/>
  <c r="G85" i="18"/>
  <c r="J85" i="18" s="1"/>
  <c r="G84" i="18"/>
  <c r="J84" i="18" s="1"/>
  <c r="G83" i="18"/>
  <c r="J83" i="18" s="1"/>
  <c r="G82" i="18"/>
  <c r="J82" i="18" s="1"/>
  <c r="G81" i="18"/>
  <c r="J81" i="18" s="1"/>
  <c r="G80" i="18"/>
  <c r="J80" i="18" s="1"/>
  <c r="G79" i="18"/>
  <c r="J79" i="18" s="1"/>
  <c r="G78" i="18"/>
  <c r="J78" i="18" s="1"/>
  <c r="I77" i="18"/>
  <c r="H77" i="18"/>
  <c r="F77" i="18"/>
  <c r="D77" i="18"/>
  <c r="C77" i="18"/>
  <c r="G76" i="18"/>
  <c r="G75" i="18"/>
  <c r="G74" i="18"/>
  <c r="G73" i="18"/>
  <c r="F72" i="18"/>
  <c r="G68" i="18"/>
  <c r="G67" i="18"/>
  <c r="D66" i="18"/>
  <c r="G61" i="18"/>
  <c r="F61" i="18" s="1"/>
  <c r="G60" i="18"/>
  <c r="F60" i="18" s="1"/>
  <c r="G59" i="18"/>
  <c r="F59" i="18" s="1"/>
  <c r="G58" i="18"/>
  <c r="F58" i="18" s="1"/>
  <c r="J57" i="18"/>
  <c r="I57" i="18"/>
  <c r="H57" i="18"/>
  <c r="D57" i="18"/>
  <c r="C57" i="18"/>
  <c r="G56" i="18"/>
  <c r="F56" i="18" s="1"/>
  <c r="G55" i="18"/>
  <c r="F55" i="18" s="1"/>
  <c r="G54" i="18"/>
  <c r="F54" i="18" s="1"/>
  <c r="G53" i="18"/>
  <c r="F53" i="18" s="1"/>
  <c r="J52" i="18"/>
  <c r="I52" i="18"/>
  <c r="H52" i="18"/>
  <c r="D52" i="18"/>
  <c r="C52" i="18"/>
  <c r="G44" i="18"/>
  <c r="F44" i="18" s="1"/>
  <c r="G43" i="18"/>
  <c r="F43" i="18" s="1"/>
  <c r="G42" i="18"/>
  <c r="F42" i="18" s="1"/>
  <c r="G41" i="18"/>
  <c r="F41" i="18" s="1"/>
  <c r="J40" i="18"/>
  <c r="I40" i="18"/>
  <c r="H40" i="18"/>
  <c r="D40" i="18"/>
  <c r="C40" i="18"/>
  <c r="G38" i="18"/>
  <c r="F38" i="18" s="1"/>
  <c r="G37" i="18"/>
  <c r="F37" i="18" s="1"/>
  <c r="G36" i="18"/>
  <c r="H34" i="18"/>
  <c r="G35" i="18"/>
  <c r="F35" i="18" s="1"/>
  <c r="J34" i="18"/>
  <c r="I34" i="18"/>
  <c r="C34" i="18"/>
  <c r="G33" i="18"/>
  <c r="F33" i="18" s="1"/>
  <c r="G32" i="18"/>
  <c r="F32" i="18" s="1"/>
  <c r="J31" i="18"/>
  <c r="I31" i="18"/>
  <c r="D31" i="18"/>
  <c r="C31" i="18"/>
  <c r="G30" i="18"/>
  <c r="C27" i="18"/>
  <c r="I27" i="18"/>
  <c r="G28" i="18"/>
  <c r="F28" i="18" s="1"/>
  <c r="J27" i="18"/>
  <c r="H27" i="18"/>
  <c r="D27" i="18"/>
  <c r="G26" i="18"/>
  <c r="F26" i="18" s="1"/>
  <c r="G25" i="18"/>
  <c r="F25" i="18" s="1"/>
  <c r="G24" i="18"/>
  <c r="F24" i="18" s="1"/>
  <c r="I21" i="18"/>
  <c r="G22" i="18"/>
  <c r="F22" i="18" s="1"/>
  <c r="H21" i="18"/>
  <c r="D21" i="18"/>
  <c r="C21" i="18"/>
  <c r="J16" i="18"/>
  <c r="G20" i="18"/>
  <c r="F20" i="18" s="1"/>
  <c r="G19" i="18"/>
  <c r="D19" i="18"/>
  <c r="D16" i="18" s="1"/>
  <c r="H18" i="18"/>
  <c r="G18" i="18" s="1"/>
  <c r="F18" i="18" s="1"/>
  <c r="G17" i="18"/>
  <c r="F17" i="18" s="1"/>
  <c r="I16" i="18"/>
  <c r="G15" i="18"/>
  <c r="F15" i="18" s="1"/>
  <c r="G12" i="18"/>
  <c r="J11" i="18"/>
  <c r="I11" i="18"/>
  <c r="C11" i="18"/>
  <c r="D8" i="18"/>
  <c r="G9" i="18"/>
  <c r="J8" i="18"/>
  <c r="I8" i="18"/>
  <c r="F19" i="18" l="1"/>
  <c r="G21" i="18"/>
  <c r="E106" i="18" s="1"/>
  <c r="G57" i="18"/>
  <c r="F57" i="18" s="1"/>
  <c r="G77" i="18"/>
  <c r="I112" i="18" s="1"/>
  <c r="G34" i="18"/>
  <c r="F34" i="18" s="1"/>
  <c r="H31" i="18"/>
  <c r="G31" i="18" s="1"/>
  <c r="E108" i="18" s="1"/>
  <c r="F10" i="18"/>
  <c r="J21" i="18"/>
  <c r="J62" i="18" s="1"/>
  <c r="H16" i="18"/>
  <c r="G16" i="18" s="1"/>
  <c r="E105" i="18" s="1"/>
  <c r="G23" i="18"/>
  <c r="F23" i="18" s="1"/>
  <c r="G27" i="18"/>
  <c r="E107" i="18" s="1"/>
  <c r="G72" i="18"/>
  <c r="I111" i="18" s="1"/>
  <c r="G40" i="18"/>
  <c r="F40" i="18" s="1"/>
  <c r="I62" i="18"/>
  <c r="H8" i="18"/>
  <c r="G8" i="18" s="1"/>
  <c r="F9" i="18"/>
  <c r="F12" i="18"/>
  <c r="G13" i="18"/>
  <c r="H11" i="18"/>
  <c r="G11" i="18" s="1"/>
  <c r="E104" i="18" s="1"/>
  <c r="F36" i="18"/>
  <c r="D62" i="18"/>
  <c r="F21" i="18"/>
  <c r="J77" i="18"/>
  <c r="F30" i="18"/>
  <c r="C16" i="18"/>
  <c r="G52" i="18"/>
  <c r="G29" i="18"/>
  <c r="F29" i="18" s="1"/>
  <c r="C66" i="18"/>
  <c r="C8" i="18"/>
  <c r="E112" i="18" l="1"/>
  <c r="E96" i="18"/>
  <c r="F96" i="18" s="1"/>
  <c r="E95" i="18"/>
  <c r="F95" i="18" s="1"/>
  <c r="E109" i="18"/>
  <c r="G90" i="18"/>
  <c r="F8" i="18"/>
  <c r="F31" i="18"/>
  <c r="C62" i="18"/>
  <c r="E103" i="18"/>
  <c r="G89" i="18"/>
  <c r="F27" i="18"/>
  <c r="E110" i="18"/>
  <c r="F11" i="18"/>
  <c r="H62" i="18"/>
  <c r="F52" i="18"/>
  <c r="E111" i="18"/>
  <c r="F16" i="18"/>
  <c r="G62" i="18"/>
  <c r="E113" i="18" l="1"/>
  <c r="I109" i="18" s="1"/>
  <c r="G95" i="18"/>
  <c r="I90" i="18" s="1"/>
  <c r="G87" i="18"/>
  <c r="F62" i="18"/>
  <c r="G63" i="18" s="1"/>
  <c r="F70" i="18" l="1"/>
  <c r="F66" i="18" s="1"/>
  <c r="G70" i="18" l="1"/>
  <c r="G66" i="18" s="1"/>
  <c r="I110" i="18" s="1"/>
  <c r="I113" i="18" s="1"/>
  <c r="H9" i="16"/>
  <c r="G88" i="18" l="1"/>
  <c r="H87" i="18" s="1"/>
  <c r="D96" i="16"/>
  <c r="H33" i="16" l="1"/>
  <c r="D36" i="16" l="1"/>
  <c r="H36" i="16"/>
  <c r="D10" i="16" l="1"/>
  <c r="D37" i="16"/>
  <c r="D9" i="16" l="1"/>
  <c r="I24" i="16" l="1"/>
  <c r="J25" i="16"/>
  <c r="I25" i="16"/>
  <c r="I28" i="16"/>
  <c r="J19" i="16"/>
  <c r="J24" i="16"/>
  <c r="I22" i="16"/>
  <c r="I41" i="16"/>
  <c r="H10" i="16"/>
  <c r="H56" i="16"/>
  <c r="D68" i="16" l="1"/>
  <c r="D101" i="16" l="1"/>
  <c r="G86" i="16"/>
  <c r="J86" i="16" s="1"/>
  <c r="G85" i="16"/>
  <c r="J85" i="16" s="1"/>
  <c r="G84" i="16"/>
  <c r="J84" i="16" s="1"/>
  <c r="G83" i="16"/>
  <c r="J83" i="16" s="1"/>
  <c r="G82" i="16"/>
  <c r="J82" i="16" s="1"/>
  <c r="G81" i="16"/>
  <c r="J81" i="16" s="1"/>
  <c r="G80" i="16"/>
  <c r="J80" i="16" s="1"/>
  <c r="G79" i="16"/>
  <c r="J79" i="16" s="1"/>
  <c r="G78" i="16"/>
  <c r="J78" i="16" s="1"/>
  <c r="I77" i="16"/>
  <c r="H77" i="16"/>
  <c r="F77" i="16"/>
  <c r="D77" i="16"/>
  <c r="C77" i="16"/>
  <c r="G76" i="16"/>
  <c r="G75" i="16"/>
  <c r="G74" i="16"/>
  <c r="G73" i="16"/>
  <c r="F72" i="16"/>
  <c r="D72" i="16"/>
  <c r="C72" i="16"/>
  <c r="G69" i="16"/>
  <c r="D66" i="16"/>
  <c r="G67" i="16"/>
  <c r="C66" i="16"/>
  <c r="G61" i="16"/>
  <c r="F61" i="16" s="1"/>
  <c r="G60" i="16"/>
  <c r="F60" i="16" s="1"/>
  <c r="G59" i="16"/>
  <c r="F59" i="16" s="1"/>
  <c r="G58" i="16"/>
  <c r="F58" i="16" s="1"/>
  <c r="J57" i="16"/>
  <c r="I57" i="16"/>
  <c r="H57" i="16"/>
  <c r="D57" i="16"/>
  <c r="C57" i="16"/>
  <c r="G56" i="16"/>
  <c r="F56" i="16" s="1"/>
  <c r="G55" i="16"/>
  <c r="F55" i="16" s="1"/>
  <c r="G54" i="16"/>
  <c r="F54" i="16" s="1"/>
  <c r="G53" i="16"/>
  <c r="F53" i="16" s="1"/>
  <c r="J52" i="16"/>
  <c r="I52" i="16"/>
  <c r="H52" i="16"/>
  <c r="D52" i="16"/>
  <c r="C52" i="16"/>
  <c r="G44" i="16"/>
  <c r="F44" i="16" s="1"/>
  <c r="G43" i="16"/>
  <c r="F43" i="16" s="1"/>
  <c r="G42" i="16"/>
  <c r="F42" i="16" s="1"/>
  <c r="G41" i="16"/>
  <c r="F41" i="16" s="1"/>
  <c r="J40" i="16"/>
  <c r="I40" i="16"/>
  <c r="H40" i="16"/>
  <c r="D40" i="16"/>
  <c r="C40" i="16"/>
  <c r="G39" i="16"/>
  <c r="F39" i="16" s="1"/>
  <c r="G38" i="16"/>
  <c r="F38" i="16" s="1"/>
  <c r="G37" i="16"/>
  <c r="F37" i="16" s="1"/>
  <c r="G36" i="16"/>
  <c r="F36" i="16" s="1"/>
  <c r="J35" i="16"/>
  <c r="I35" i="16"/>
  <c r="H35" i="16"/>
  <c r="D35" i="16"/>
  <c r="C35" i="16"/>
  <c r="G34" i="16"/>
  <c r="F34" i="16" s="1"/>
  <c r="H30" i="16"/>
  <c r="G33" i="16"/>
  <c r="F33" i="16" s="1"/>
  <c r="G32" i="16"/>
  <c r="G31" i="16"/>
  <c r="J30" i="16"/>
  <c r="I30" i="16"/>
  <c r="D30" i="16"/>
  <c r="C30" i="16"/>
  <c r="G29" i="16"/>
  <c r="F29" i="16" s="1"/>
  <c r="G28" i="16"/>
  <c r="F28" i="16" s="1"/>
  <c r="G27" i="16"/>
  <c r="F27" i="16" s="1"/>
  <c r="J26" i="16"/>
  <c r="I26" i="16"/>
  <c r="H26" i="16"/>
  <c r="D26" i="16"/>
  <c r="C26" i="16"/>
  <c r="G25" i="16"/>
  <c r="F25" i="16" s="1"/>
  <c r="G24" i="16"/>
  <c r="F24" i="16" s="1"/>
  <c r="G23" i="16"/>
  <c r="F23" i="16" s="1"/>
  <c r="G22" i="16"/>
  <c r="F22" i="16" s="1"/>
  <c r="G21" i="16"/>
  <c r="F21" i="16" s="1"/>
  <c r="J20" i="16"/>
  <c r="I20" i="16"/>
  <c r="H20" i="16"/>
  <c r="D20" i="16"/>
  <c r="C20" i="16"/>
  <c r="G19" i="16"/>
  <c r="F19" i="16" s="1"/>
  <c r="G18" i="16"/>
  <c r="F18" i="16" s="1"/>
  <c r="D15" i="16"/>
  <c r="C15" i="16"/>
  <c r="G17" i="16"/>
  <c r="F17" i="16" s="1"/>
  <c r="G16" i="16"/>
  <c r="F16" i="16" s="1"/>
  <c r="J15" i="16"/>
  <c r="I15" i="16"/>
  <c r="H15" i="16"/>
  <c r="G14" i="16"/>
  <c r="F14" i="16" s="1"/>
  <c r="G13" i="16"/>
  <c r="G12" i="16"/>
  <c r="D12" i="16"/>
  <c r="D11" i="16" s="1"/>
  <c r="J11" i="16"/>
  <c r="I11" i="16"/>
  <c r="H11" i="16"/>
  <c r="C11" i="16"/>
  <c r="G10" i="16"/>
  <c r="D8" i="16"/>
  <c r="G9" i="16"/>
  <c r="F9" i="16" s="1"/>
  <c r="C8" i="16"/>
  <c r="J8" i="16"/>
  <c r="I8" i="16"/>
  <c r="H8" i="16"/>
  <c r="G57" i="16" l="1"/>
  <c r="G15" i="16"/>
  <c r="E105" i="16" s="1"/>
  <c r="F31" i="16"/>
  <c r="F12" i="16"/>
  <c r="G72" i="16"/>
  <c r="G89" i="16" s="1"/>
  <c r="G40" i="16"/>
  <c r="E110" i="16" s="1"/>
  <c r="G26" i="16"/>
  <c r="E107" i="16" s="1"/>
  <c r="G8" i="16"/>
  <c r="E103" i="16" s="1"/>
  <c r="G11" i="16"/>
  <c r="F11" i="16" s="1"/>
  <c r="G77" i="16"/>
  <c r="I112" i="16" s="1"/>
  <c r="E99" i="16"/>
  <c r="F99" i="16" s="1"/>
  <c r="J62" i="16"/>
  <c r="G52" i="16"/>
  <c r="F52" i="16" s="1"/>
  <c r="G35" i="16"/>
  <c r="F35" i="16" s="1"/>
  <c r="G20" i="16"/>
  <c r="F20" i="16" s="1"/>
  <c r="I62" i="16"/>
  <c r="J77" i="16"/>
  <c r="E95" i="16"/>
  <c r="F95" i="16" s="1"/>
  <c r="G30" i="16"/>
  <c r="H62" i="16"/>
  <c r="C62" i="16"/>
  <c r="D62" i="16"/>
  <c r="G68" i="16"/>
  <c r="F10" i="16"/>
  <c r="E96" i="16" s="1"/>
  <c r="F96" i="16" s="1"/>
  <c r="E112" i="16"/>
  <c r="F57" i="16"/>
  <c r="F73" i="15"/>
  <c r="H12" i="15"/>
  <c r="F15" i="16" l="1"/>
  <c r="I111" i="16"/>
  <c r="F40" i="16"/>
  <c r="F26" i="16"/>
  <c r="F8" i="16"/>
  <c r="G90" i="16"/>
  <c r="E104" i="16"/>
  <c r="E106" i="16"/>
  <c r="E111" i="16"/>
  <c r="E109" i="16"/>
  <c r="G95" i="16"/>
  <c r="E108" i="16"/>
  <c r="F30" i="16"/>
  <c r="G62" i="16"/>
  <c r="F75" i="15"/>
  <c r="C68" i="15"/>
  <c r="D68" i="15"/>
  <c r="F85" i="15"/>
  <c r="C69" i="15"/>
  <c r="C67" i="15"/>
  <c r="F67" i="15"/>
  <c r="D85" i="15"/>
  <c r="E113" i="16" l="1"/>
  <c r="I109" i="16" s="1"/>
  <c r="I90" i="16"/>
  <c r="F70" i="16"/>
  <c r="G87" i="16"/>
  <c r="F62" i="16"/>
  <c r="G63" i="16" s="1"/>
  <c r="C70" i="15"/>
  <c r="F66" i="16" l="1"/>
  <c r="G70" i="16"/>
  <c r="G66" i="16" s="1"/>
  <c r="H33" i="15"/>
  <c r="C33" i="15"/>
  <c r="G88" i="16" l="1"/>
  <c r="H87" i="16" s="1"/>
  <c r="I110" i="16"/>
  <c r="I113" i="16" s="1"/>
  <c r="H9" i="15"/>
  <c r="D9" i="15"/>
  <c r="D98" i="15"/>
  <c r="D97" i="15"/>
  <c r="D95" i="15"/>
  <c r="G86" i="15"/>
  <c r="J86" i="15" s="1"/>
  <c r="G85" i="15"/>
  <c r="J85" i="15" s="1"/>
  <c r="G84" i="15"/>
  <c r="J84" i="15" s="1"/>
  <c r="G83" i="15"/>
  <c r="J83" i="15" s="1"/>
  <c r="G82" i="15"/>
  <c r="J82" i="15" s="1"/>
  <c r="G81" i="15"/>
  <c r="J81" i="15" s="1"/>
  <c r="G80" i="15"/>
  <c r="J80" i="15" s="1"/>
  <c r="G79" i="15"/>
  <c r="J79" i="15" s="1"/>
  <c r="F78" i="15"/>
  <c r="F77" i="15" s="1"/>
  <c r="I77" i="15"/>
  <c r="H77" i="15"/>
  <c r="D77" i="15"/>
  <c r="C77" i="15"/>
  <c r="G76" i="15"/>
  <c r="F72" i="15"/>
  <c r="G74" i="15"/>
  <c r="G73" i="15"/>
  <c r="D72" i="15"/>
  <c r="C72" i="15"/>
  <c r="D70" i="15"/>
  <c r="G69" i="15"/>
  <c r="G68" i="15"/>
  <c r="G67" i="15"/>
  <c r="C66" i="15"/>
  <c r="G61" i="15"/>
  <c r="F61" i="15" s="1"/>
  <c r="G60" i="15"/>
  <c r="F60" i="15" s="1"/>
  <c r="G59" i="15"/>
  <c r="F59" i="15" s="1"/>
  <c r="G58" i="15"/>
  <c r="F58" i="15" s="1"/>
  <c r="J57" i="15"/>
  <c r="I57" i="15"/>
  <c r="H57" i="15"/>
  <c r="D57" i="15"/>
  <c r="C57" i="15"/>
  <c r="H56" i="15"/>
  <c r="G56" i="15" s="1"/>
  <c r="F56" i="15" s="1"/>
  <c r="G55" i="15"/>
  <c r="F55" i="15" s="1"/>
  <c r="H54" i="15"/>
  <c r="G54" i="15" s="1"/>
  <c r="F54" i="15" s="1"/>
  <c r="H53" i="15"/>
  <c r="G53" i="15" s="1"/>
  <c r="F53" i="15" s="1"/>
  <c r="J52" i="15"/>
  <c r="I52" i="15"/>
  <c r="D52" i="15"/>
  <c r="C52" i="15"/>
  <c r="G44" i="15"/>
  <c r="F44" i="15" s="1"/>
  <c r="G43" i="15"/>
  <c r="F43" i="15" s="1"/>
  <c r="I42" i="15"/>
  <c r="G42" i="15" s="1"/>
  <c r="F42" i="15" s="1"/>
  <c r="I41" i="15"/>
  <c r="G41" i="15" s="1"/>
  <c r="F41" i="15" s="1"/>
  <c r="J40" i="15"/>
  <c r="H40" i="15"/>
  <c r="D40" i="15"/>
  <c r="C40" i="15"/>
  <c r="H39" i="15"/>
  <c r="G39" i="15" s="1"/>
  <c r="F39" i="15" s="1"/>
  <c r="H38" i="15"/>
  <c r="G38" i="15" s="1"/>
  <c r="F38" i="15" s="1"/>
  <c r="H37" i="15"/>
  <c r="G37" i="15" s="1"/>
  <c r="D37" i="15"/>
  <c r="H36" i="15"/>
  <c r="G36" i="15" s="1"/>
  <c r="D36" i="15"/>
  <c r="J35" i="15"/>
  <c r="I35" i="15"/>
  <c r="C35" i="15"/>
  <c r="G34" i="15"/>
  <c r="F34" i="15" s="1"/>
  <c r="G33" i="15"/>
  <c r="F33" i="15" s="1"/>
  <c r="C30" i="15"/>
  <c r="G32" i="15"/>
  <c r="G31" i="15"/>
  <c r="J30" i="15"/>
  <c r="I30" i="15"/>
  <c r="H30" i="15"/>
  <c r="D30" i="15"/>
  <c r="G29" i="15"/>
  <c r="C29" i="15"/>
  <c r="C26" i="15" s="1"/>
  <c r="G28" i="15"/>
  <c r="F28" i="15" s="1"/>
  <c r="G27" i="15"/>
  <c r="F27" i="15" s="1"/>
  <c r="J26" i="15"/>
  <c r="I26" i="15"/>
  <c r="H26" i="15"/>
  <c r="D26" i="15"/>
  <c r="G25" i="15"/>
  <c r="F25" i="15" s="1"/>
  <c r="J24" i="15"/>
  <c r="J20" i="15" s="1"/>
  <c r="G24" i="15"/>
  <c r="F24" i="15" s="1"/>
  <c r="G23" i="15"/>
  <c r="F23" i="15" s="1"/>
  <c r="G22" i="15"/>
  <c r="F22" i="15" s="1"/>
  <c r="G21" i="15"/>
  <c r="F21" i="15" s="1"/>
  <c r="I20" i="15"/>
  <c r="H20" i="15"/>
  <c r="G20" i="15" s="1"/>
  <c r="E106" i="15" s="1"/>
  <c r="D20" i="15"/>
  <c r="C20" i="15"/>
  <c r="J19" i="15"/>
  <c r="J15" i="15" s="1"/>
  <c r="G19" i="15"/>
  <c r="F19" i="15" s="1"/>
  <c r="H18" i="15"/>
  <c r="G18" i="15" s="1"/>
  <c r="D18" i="15"/>
  <c r="C18" i="15"/>
  <c r="H17" i="15"/>
  <c r="G17" i="15" s="1"/>
  <c r="F17" i="15" s="1"/>
  <c r="H16" i="15"/>
  <c r="D16" i="15"/>
  <c r="I15" i="15"/>
  <c r="H14" i="15"/>
  <c r="G14" i="15" s="1"/>
  <c r="D14" i="15"/>
  <c r="H13" i="15"/>
  <c r="G13" i="15" s="1"/>
  <c r="D13" i="15"/>
  <c r="D12" i="15"/>
  <c r="C12" i="15"/>
  <c r="C11" i="15" s="1"/>
  <c r="J11" i="15"/>
  <c r="I11" i="15"/>
  <c r="H10" i="15"/>
  <c r="G10" i="15" s="1"/>
  <c r="D10" i="15"/>
  <c r="C9" i="15"/>
  <c r="C8" i="15" s="1"/>
  <c r="J8" i="15"/>
  <c r="I8" i="15"/>
  <c r="D35" i="15" l="1"/>
  <c r="F31" i="15"/>
  <c r="D101" i="15"/>
  <c r="G26" i="15"/>
  <c r="E107" i="15" s="1"/>
  <c r="D15" i="15"/>
  <c r="F18" i="15"/>
  <c r="C15" i="15"/>
  <c r="C62" i="15" s="1"/>
  <c r="F26" i="15"/>
  <c r="F37" i="15"/>
  <c r="F10" i="15"/>
  <c r="H15" i="15"/>
  <c r="G15" i="15" s="1"/>
  <c r="F20" i="15"/>
  <c r="H52" i="15"/>
  <c r="G52" i="15" s="1"/>
  <c r="F52" i="15" s="1"/>
  <c r="F14" i="15"/>
  <c r="G30" i="15"/>
  <c r="E108" i="15" s="1"/>
  <c r="H11" i="15"/>
  <c r="G11" i="15" s="1"/>
  <c r="E104" i="15" s="1"/>
  <c r="G78" i="15"/>
  <c r="J78" i="15" s="1"/>
  <c r="F29" i="15"/>
  <c r="J62" i="15"/>
  <c r="I40" i="15"/>
  <c r="G40" i="15" s="1"/>
  <c r="E110" i="15" s="1"/>
  <c r="F36" i="15"/>
  <c r="D11" i="15"/>
  <c r="G16" i="15"/>
  <c r="F16" i="15" s="1"/>
  <c r="H8" i="15"/>
  <c r="G8" i="15" s="1"/>
  <c r="E103" i="15" s="1"/>
  <c r="G77" i="15"/>
  <c r="G90" i="15" s="1"/>
  <c r="J77" i="15"/>
  <c r="G72" i="15"/>
  <c r="H35" i="15"/>
  <c r="G35" i="15" s="1"/>
  <c r="I62" i="15"/>
  <c r="D8" i="15"/>
  <c r="D66" i="15"/>
  <c r="G9" i="15"/>
  <c r="F9" i="15" s="1"/>
  <c r="G12" i="15"/>
  <c r="F12" i="15" s="1"/>
  <c r="G57" i="15"/>
  <c r="G75" i="15"/>
  <c r="D70" i="13"/>
  <c r="C70" i="13"/>
  <c r="F15" i="15" l="1"/>
  <c r="F30" i="15"/>
  <c r="E111" i="15"/>
  <c r="D62" i="15"/>
  <c r="E105" i="15"/>
  <c r="F40" i="15"/>
  <c r="F8" i="15"/>
  <c r="E95" i="15"/>
  <c r="F95" i="15" s="1"/>
  <c r="F11" i="15"/>
  <c r="H62" i="15"/>
  <c r="I112" i="15"/>
  <c r="G89" i="15"/>
  <c r="I111" i="15"/>
  <c r="E96" i="15"/>
  <c r="F96" i="15" s="1"/>
  <c r="F35" i="15"/>
  <c r="E109" i="15"/>
  <c r="G62" i="15"/>
  <c r="E112" i="15"/>
  <c r="F57" i="15"/>
  <c r="H10" i="13"/>
  <c r="F73" i="13"/>
  <c r="E113" i="15" l="1"/>
  <c r="I109" i="15" s="1"/>
  <c r="G95" i="15"/>
  <c r="I90" i="15" s="1"/>
  <c r="G87" i="15"/>
  <c r="F62" i="15"/>
  <c r="G63" i="15" s="1"/>
  <c r="F78" i="13"/>
  <c r="F67" i="13"/>
  <c r="H33" i="13"/>
  <c r="C33" i="13"/>
  <c r="H12" i="13"/>
  <c r="H9" i="13"/>
  <c r="C9" i="13"/>
  <c r="D9" i="13"/>
  <c r="F70" i="15" l="1"/>
  <c r="G70" i="15" s="1"/>
  <c r="G66" i="15" s="1"/>
  <c r="F66" i="15"/>
  <c r="D98" i="13"/>
  <c r="D97" i="13"/>
  <c r="D95" i="13"/>
  <c r="G86" i="13"/>
  <c r="J86" i="13" s="1"/>
  <c r="G85" i="13"/>
  <c r="J85" i="13" s="1"/>
  <c r="G84" i="13"/>
  <c r="J84" i="13" s="1"/>
  <c r="G83" i="13"/>
  <c r="J83" i="13" s="1"/>
  <c r="G82" i="13"/>
  <c r="J82" i="13" s="1"/>
  <c r="G81" i="13"/>
  <c r="J81" i="13" s="1"/>
  <c r="G80" i="13"/>
  <c r="J80" i="13" s="1"/>
  <c r="G79" i="13"/>
  <c r="J79" i="13" s="1"/>
  <c r="G78" i="13"/>
  <c r="J78" i="13" s="1"/>
  <c r="I77" i="13"/>
  <c r="H77" i="13"/>
  <c r="D77" i="13"/>
  <c r="C77" i="13"/>
  <c r="G76" i="13"/>
  <c r="F75" i="13"/>
  <c r="G74" i="13"/>
  <c r="D72" i="13"/>
  <c r="C72" i="13"/>
  <c r="C69" i="13"/>
  <c r="G69" i="13" s="1"/>
  <c r="D68" i="13"/>
  <c r="G67" i="13"/>
  <c r="G61" i="13"/>
  <c r="F61" i="13" s="1"/>
  <c r="G60" i="13"/>
  <c r="F60" i="13" s="1"/>
  <c r="G59" i="13"/>
  <c r="F59" i="13" s="1"/>
  <c r="G58" i="13"/>
  <c r="F58" i="13" s="1"/>
  <c r="J57" i="13"/>
  <c r="I57" i="13"/>
  <c r="H57" i="13"/>
  <c r="D57" i="13"/>
  <c r="C57" i="13"/>
  <c r="H56" i="13"/>
  <c r="G56" i="13" s="1"/>
  <c r="F56" i="13" s="1"/>
  <c r="G55" i="13"/>
  <c r="F55" i="13" s="1"/>
  <c r="H54" i="13"/>
  <c r="G54" i="13" s="1"/>
  <c r="F54" i="13" s="1"/>
  <c r="H53" i="13"/>
  <c r="J52" i="13"/>
  <c r="I52" i="13"/>
  <c r="D52" i="13"/>
  <c r="C52" i="13"/>
  <c r="G44" i="13"/>
  <c r="F44" i="13" s="1"/>
  <c r="G43" i="13"/>
  <c r="F43" i="13" s="1"/>
  <c r="I42" i="13"/>
  <c r="G42" i="13" s="1"/>
  <c r="F42" i="13" s="1"/>
  <c r="I41" i="13"/>
  <c r="G41" i="13" s="1"/>
  <c r="F41" i="13" s="1"/>
  <c r="J40" i="13"/>
  <c r="H40" i="13"/>
  <c r="D40" i="13"/>
  <c r="C40" i="13"/>
  <c r="H39" i="13"/>
  <c r="G39" i="13" s="1"/>
  <c r="F39" i="13" s="1"/>
  <c r="H38" i="13"/>
  <c r="G38" i="13" s="1"/>
  <c r="F38" i="13" s="1"/>
  <c r="H37" i="13"/>
  <c r="G37" i="13" s="1"/>
  <c r="D37" i="13"/>
  <c r="H36" i="13"/>
  <c r="G36" i="13" s="1"/>
  <c r="D36" i="13"/>
  <c r="J35" i="13"/>
  <c r="I35" i="13"/>
  <c r="C35" i="13"/>
  <c r="G34" i="13"/>
  <c r="F34" i="13" s="1"/>
  <c r="G33" i="13"/>
  <c r="C30" i="13"/>
  <c r="G32" i="13"/>
  <c r="G31" i="13"/>
  <c r="J30" i="13"/>
  <c r="I30" i="13"/>
  <c r="D30" i="13"/>
  <c r="G29" i="13"/>
  <c r="C29" i="13"/>
  <c r="C26" i="13" s="1"/>
  <c r="G28" i="13"/>
  <c r="F28" i="13" s="1"/>
  <c r="G27" i="13"/>
  <c r="F27" i="13" s="1"/>
  <c r="J26" i="13"/>
  <c r="I26" i="13"/>
  <c r="H26" i="13"/>
  <c r="D26" i="13"/>
  <c r="G25" i="13"/>
  <c r="F25" i="13" s="1"/>
  <c r="J24" i="13"/>
  <c r="J20" i="13" s="1"/>
  <c r="G24" i="13"/>
  <c r="F24" i="13" s="1"/>
  <c r="G23" i="13"/>
  <c r="F23" i="13" s="1"/>
  <c r="G22" i="13"/>
  <c r="F22" i="13" s="1"/>
  <c r="G21" i="13"/>
  <c r="F21" i="13" s="1"/>
  <c r="I20" i="13"/>
  <c r="H20" i="13"/>
  <c r="D20" i="13"/>
  <c r="C20" i="13"/>
  <c r="J19" i="13"/>
  <c r="J15" i="13" s="1"/>
  <c r="G19" i="13"/>
  <c r="F19" i="13" s="1"/>
  <c r="H18" i="13"/>
  <c r="G18" i="13" s="1"/>
  <c r="D18" i="13"/>
  <c r="C18" i="13"/>
  <c r="C15" i="13" s="1"/>
  <c r="H17" i="13"/>
  <c r="G17" i="13" s="1"/>
  <c r="F17" i="13" s="1"/>
  <c r="H16" i="13"/>
  <c r="G16" i="13" s="1"/>
  <c r="D16" i="13"/>
  <c r="I15" i="13"/>
  <c r="H14" i="13"/>
  <c r="G14" i="13" s="1"/>
  <c r="D14" i="13"/>
  <c r="H13" i="13"/>
  <c r="G13" i="13" s="1"/>
  <c r="D13" i="13"/>
  <c r="D12" i="13"/>
  <c r="C12" i="13"/>
  <c r="C11" i="13" s="1"/>
  <c r="J11" i="13"/>
  <c r="I11" i="13"/>
  <c r="G10" i="13"/>
  <c r="D10" i="13"/>
  <c r="G9" i="13"/>
  <c r="F9" i="13" s="1"/>
  <c r="C8" i="13"/>
  <c r="J8" i="13"/>
  <c r="I8" i="13"/>
  <c r="G68" i="13" l="1"/>
  <c r="F31" i="13"/>
  <c r="D101" i="13"/>
  <c r="F18" i="13"/>
  <c r="G26" i="13"/>
  <c r="E107" i="13" s="1"/>
  <c r="H52" i="13"/>
  <c r="G52" i="13" s="1"/>
  <c r="D15" i="13"/>
  <c r="G20" i="13"/>
  <c r="E106" i="13" s="1"/>
  <c r="G88" i="15"/>
  <c r="H87" i="15" s="1"/>
  <c r="I110" i="15"/>
  <c r="I113" i="15" s="1"/>
  <c r="F10" i="13"/>
  <c r="D35" i="13"/>
  <c r="G75" i="13"/>
  <c r="F29" i="13"/>
  <c r="F37" i="13"/>
  <c r="G53" i="13"/>
  <c r="F53" i="13" s="1"/>
  <c r="G57" i="13"/>
  <c r="E112" i="13" s="1"/>
  <c r="H15" i="13"/>
  <c r="G15" i="13" s="1"/>
  <c r="E105" i="13" s="1"/>
  <c r="C66" i="13"/>
  <c r="F36" i="13"/>
  <c r="F16" i="13"/>
  <c r="F14" i="13"/>
  <c r="D11" i="13"/>
  <c r="F33" i="13"/>
  <c r="F72" i="13"/>
  <c r="G72" i="13" s="1"/>
  <c r="D8" i="13"/>
  <c r="H11" i="13"/>
  <c r="G11" i="13" s="1"/>
  <c r="E104" i="13" s="1"/>
  <c r="D66" i="13"/>
  <c r="G73" i="13"/>
  <c r="C62" i="13"/>
  <c r="J77" i="13"/>
  <c r="J62" i="13"/>
  <c r="H30" i="13"/>
  <c r="G30" i="13" s="1"/>
  <c r="H35" i="13"/>
  <c r="G35" i="13" s="1"/>
  <c r="I40" i="13"/>
  <c r="G40" i="13" s="1"/>
  <c r="H8" i="13"/>
  <c r="G8" i="13" s="1"/>
  <c r="G12" i="13"/>
  <c r="F12" i="13" s="1"/>
  <c r="F77" i="13"/>
  <c r="G77" i="13" s="1"/>
  <c r="C69" i="12"/>
  <c r="I62" i="13" l="1"/>
  <c r="F26" i="13"/>
  <c r="F20" i="13"/>
  <c r="E95" i="13"/>
  <c r="F95" i="13" s="1"/>
  <c r="F57" i="13"/>
  <c r="F15" i="13"/>
  <c r="D62" i="13"/>
  <c r="F11" i="13"/>
  <c r="E96" i="13"/>
  <c r="F96" i="13" s="1"/>
  <c r="G95" i="13" s="1"/>
  <c r="G89" i="13"/>
  <c r="I111" i="13"/>
  <c r="F40" i="13"/>
  <c r="E110" i="13"/>
  <c r="E108" i="13"/>
  <c r="F30" i="13"/>
  <c r="I112" i="13"/>
  <c r="G90" i="13"/>
  <c r="E111" i="13"/>
  <c r="F52" i="13"/>
  <c r="G62" i="13"/>
  <c r="F8" i="13"/>
  <c r="E103" i="13"/>
  <c r="E109" i="13"/>
  <c r="F35" i="13"/>
  <c r="H62" i="13"/>
  <c r="H16" i="12"/>
  <c r="D16" i="12"/>
  <c r="E113" i="13" l="1"/>
  <c r="I109" i="13" s="1"/>
  <c r="F70" i="13"/>
  <c r="I90" i="13"/>
  <c r="G87" i="13"/>
  <c r="F62" i="13"/>
  <c r="G63" i="13" s="1"/>
  <c r="F73" i="12"/>
  <c r="H14" i="12"/>
  <c r="C70" i="12"/>
  <c r="D14" i="12"/>
  <c r="F66" i="13" l="1"/>
  <c r="G70" i="13"/>
  <c r="G66" i="13" s="1"/>
  <c r="G88" i="13" l="1"/>
  <c r="H87" i="13" s="1"/>
  <c r="I110" i="13"/>
  <c r="I113" i="13" s="1"/>
  <c r="F78" i="12"/>
  <c r="F73" i="9"/>
  <c r="I42" i="12" l="1"/>
  <c r="H33" i="12" l="1"/>
  <c r="H12" i="12"/>
  <c r="D97" i="12" l="1"/>
  <c r="D98" i="12" l="1"/>
  <c r="D95" i="12"/>
  <c r="G86" i="12"/>
  <c r="J86" i="12" s="1"/>
  <c r="G85" i="12"/>
  <c r="J85" i="12" s="1"/>
  <c r="G84" i="12"/>
  <c r="J84" i="12" s="1"/>
  <c r="G83" i="12"/>
  <c r="J83" i="12" s="1"/>
  <c r="G82" i="12"/>
  <c r="J82" i="12" s="1"/>
  <c r="G81" i="12"/>
  <c r="J81" i="12" s="1"/>
  <c r="G80" i="12"/>
  <c r="J80" i="12" s="1"/>
  <c r="G79" i="12"/>
  <c r="J79" i="12" s="1"/>
  <c r="G78" i="12"/>
  <c r="J78" i="12" s="1"/>
  <c r="I77" i="12"/>
  <c r="H77" i="12"/>
  <c r="F77" i="12"/>
  <c r="D77" i="12"/>
  <c r="C77" i="12"/>
  <c r="G76" i="12"/>
  <c r="F75" i="12"/>
  <c r="G75" i="12" s="1"/>
  <c r="G74" i="12"/>
  <c r="F72" i="12"/>
  <c r="D72" i="12"/>
  <c r="C72" i="12"/>
  <c r="D70" i="12"/>
  <c r="D66" i="12" s="1"/>
  <c r="C66" i="12"/>
  <c r="G69" i="12"/>
  <c r="D68" i="12"/>
  <c r="G68" i="12" s="1"/>
  <c r="F67" i="12"/>
  <c r="G67" i="12" s="1"/>
  <c r="G61" i="12"/>
  <c r="F61" i="12" s="1"/>
  <c r="G60" i="12"/>
  <c r="F60" i="12" s="1"/>
  <c r="G59" i="12"/>
  <c r="F59" i="12" s="1"/>
  <c r="G58" i="12"/>
  <c r="F58" i="12" s="1"/>
  <c r="J57" i="12"/>
  <c r="I57" i="12"/>
  <c r="H57" i="12"/>
  <c r="D57" i="12"/>
  <c r="C57" i="12"/>
  <c r="H56" i="12"/>
  <c r="G56" i="12" s="1"/>
  <c r="F56" i="12" s="1"/>
  <c r="G55" i="12"/>
  <c r="F55" i="12" s="1"/>
  <c r="H54" i="12"/>
  <c r="G54" i="12" s="1"/>
  <c r="F54" i="12" s="1"/>
  <c r="H53" i="12"/>
  <c r="G53" i="12" s="1"/>
  <c r="F53" i="12" s="1"/>
  <c r="J52" i="12"/>
  <c r="I52" i="12"/>
  <c r="D52" i="12"/>
  <c r="C52" i="12"/>
  <c r="G44" i="12"/>
  <c r="F44" i="12" s="1"/>
  <c r="G43" i="12"/>
  <c r="F43" i="12" s="1"/>
  <c r="G42" i="12"/>
  <c r="F42" i="12" s="1"/>
  <c r="I41" i="12"/>
  <c r="I40" i="12" s="1"/>
  <c r="J40" i="12"/>
  <c r="H40" i="12"/>
  <c r="D40" i="12"/>
  <c r="C40" i="12"/>
  <c r="H39" i="12"/>
  <c r="G39" i="12" s="1"/>
  <c r="F39" i="12" s="1"/>
  <c r="H38" i="12"/>
  <c r="G38" i="12" s="1"/>
  <c r="F38" i="12" s="1"/>
  <c r="H37" i="12"/>
  <c r="G37" i="12" s="1"/>
  <c r="D37" i="12"/>
  <c r="H36" i="12"/>
  <c r="G36" i="12" s="1"/>
  <c r="D36" i="12"/>
  <c r="J35" i="12"/>
  <c r="I35" i="12"/>
  <c r="C35" i="12"/>
  <c r="G34" i="12"/>
  <c r="F34" i="12" s="1"/>
  <c r="G33" i="12"/>
  <c r="C33" i="12"/>
  <c r="C30" i="12" s="1"/>
  <c r="G32" i="12"/>
  <c r="G31" i="12"/>
  <c r="J30" i="12"/>
  <c r="I30" i="12"/>
  <c r="D30" i="12"/>
  <c r="G29" i="12"/>
  <c r="C29" i="12"/>
  <c r="C26" i="12" s="1"/>
  <c r="G28" i="12"/>
  <c r="F28" i="12" s="1"/>
  <c r="G27" i="12"/>
  <c r="F27" i="12" s="1"/>
  <c r="J26" i="12"/>
  <c r="I26" i="12"/>
  <c r="H26" i="12"/>
  <c r="D26" i="12"/>
  <c r="G25" i="12"/>
  <c r="F25" i="12" s="1"/>
  <c r="J24" i="12"/>
  <c r="J20" i="12" s="1"/>
  <c r="G24" i="12"/>
  <c r="F24" i="12" s="1"/>
  <c r="G23" i="12"/>
  <c r="F23" i="12" s="1"/>
  <c r="G22" i="12"/>
  <c r="F22" i="12" s="1"/>
  <c r="G21" i="12"/>
  <c r="F21" i="12" s="1"/>
  <c r="I20" i="12"/>
  <c r="H20" i="12"/>
  <c r="D20" i="12"/>
  <c r="C20" i="12"/>
  <c r="J19" i="12"/>
  <c r="J15" i="12" s="1"/>
  <c r="G19" i="12"/>
  <c r="F19" i="12" s="1"/>
  <c r="H18" i="12"/>
  <c r="G18" i="12" s="1"/>
  <c r="D18" i="12"/>
  <c r="C18" i="12"/>
  <c r="C15" i="12" s="1"/>
  <c r="H17" i="12"/>
  <c r="G17" i="12" s="1"/>
  <c r="F17" i="12" s="1"/>
  <c r="G16" i="12"/>
  <c r="I15" i="12"/>
  <c r="G14" i="12"/>
  <c r="F14" i="12" s="1"/>
  <c r="H13" i="12"/>
  <c r="G13" i="12" s="1"/>
  <c r="D13" i="12"/>
  <c r="G12" i="12"/>
  <c r="D12" i="12"/>
  <c r="C12" i="12"/>
  <c r="C11" i="12" s="1"/>
  <c r="J11" i="12"/>
  <c r="I11" i="12"/>
  <c r="H10" i="12"/>
  <c r="G10" i="12" s="1"/>
  <c r="D10" i="12"/>
  <c r="H9" i="12"/>
  <c r="G9" i="12" s="1"/>
  <c r="D9" i="12"/>
  <c r="C9" i="12"/>
  <c r="C8" i="12" s="1"/>
  <c r="J8" i="12"/>
  <c r="I8" i="12"/>
  <c r="G26" i="12" l="1"/>
  <c r="E107" i="12" s="1"/>
  <c r="F36" i="12"/>
  <c r="D101" i="12"/>
  <c r="F29" i="12"/>
  <c r="G41" i="12"/>
  <c r="F41" i="12" s="1"/>
  <c r="G40" i="12"/>
  <c r="F40" i="12" s="1"/>
  <c r="D35" i="12"/>
  <c r="H15" i="12"/>
  <c r="G15" i="12" s="1"/>
  <c r="E105" i="12" s="1"/>
  <c r="H11" i="12"/>
  <c r="G11" i="12" s="1"/>
  <c r="F31" i="12"/>
  <c r="H52" i="12"/>
  <c r="G52" i="12" s="1"/>
  <c r="E111" i="12" s="1"/>
  <c r="F33" i="12"/>
  <c r="F37" i="12"/>
  <c r="I62" i="12"/>
  <c r="H35" i="12"/>
  <c r="G35" i="12" s="1"/>
  <c r="E109" i="12" s="1"/>
  <c r="F9" i="12"/>
  <c r="G20" i="12"/>
  <c r="F20" i="12" s="1"/>
  <c r="J62" i="12"/>
  <c r="F10" i="12"/>
  <c r="D11" i="12"/>
  <c r="C62" i="12"/>
  <c r="H8" i="12"/>
  <c r="G8" i="12" s="1"/>
  <c r="E103" i="12" s="1"/>
  <c r="D15" i="12"/>
  <c r="G72" i="12"/>
  <c r="G89" i="12" s="1"/>
  <c r="G77" i="12"/>
  <c r="I112" i="12" s="1"/>
  <c r="J77" i="12"/>
  <c r="F16" i="12"/>
  <c r="G57" i="12"/>
  <c r="F18" i="12"/>
  <c r="G73" i="12"/>
  <c r="F26" i="12"/>
  <c r="H30" i="12"/>
  <c r="G30" i="12" s="1"/>
  <c r="F12" i="12"/>
  <c r="D8" i="12"/>
  <c r="F15" i="12" l="1"/>
  <c r="E110" i="12"/>
  <c r="F52" i="12"/>
  <c r="E106" i="12"/>
  <c r="E96" i="12"/>
  <c r="F96" i="12" s="1"/>
  <c r="F8" i="12"/>
  <c r="D62" i="12"/>
  <c r="F11" i="12"/>
  <c r="F35" i="12"/>
  <c r="E104" i="12"/>
  <c r="I111" i="12"/>
  <c r="H62" i="12"/>
  <c r="G90" i="12"/>
  <c r="E112" i="12"/>
  <c r="G62" i="12"/>
  <c r="F57" i="12"/>
  <c r="E108" i="12"/>
  <c r="F30" i="12"/>
  <c r="E95" i="12"/>
  <c r="F95" i="12" s="1"/>
  <c r="G95" i="12" l="1"/>
  <c r="I90" i="12" s="1"/>
  <c r="E113" i="12"/>
  <c r="I109" i="12" s="1"/>
  <c r="G87" i="12"/>
  <c r="F62" i="12"/>
  <c r="G63" i="12" s="1"/>
  <c r="F70" i="12" l="1"/>
  <c r="F66" i="12" s="1"/>
  <c r="G70" i="12" l="1"/>
  <c r="G66" i="12" s="1"/>
  <c r="I110" i="12" s="1"/>
  <c r="I113" i="12" s="1"/>
  <c r="G88" i="12" l="1"/>
  <c r="H87" i="12" s="1"/>
  <c r="H17" i="9"/>
  <c r="D98" i="10" l="1"/>
  <c r="D16" i="10"/>
  <c r="C70" i="10"/>
  <c r="C16" i="10"/>
  <c r="D9" i="10"/>
  <c r="D70" i="10"/>
  <c r="H12" i="10"/>
  <c r="H16" i="10" l="1"/>
  <c r="H9" i="10"/>
  <c r="F73" i="10" l="1"/>
  <c r="D80" i="10"/>
  <c r="F78" i="10" l="1"/>
  <c r="F75" i="10"/>
  <c r="H54" i="10"/>
  <c r="H53" i="10"/>
  <c r="I42" i="10"/>
  <c r="I24" i="10"/>
  <c r="H36" i="10" l="1"/>
  <c r="H33" i="10"/>
  <c r="H14" i="10"/>
  <c r="H10" i="10"/>
  <c r="C68" i="10" l="1"/>
  <c r="F80" i="10" l="1"/>
  <c r="C69" i="10" l="1"/>
  <c r="I80" i="10" l="1"/>
  <c r="I41" i="10" l="1"/>
  <c r="D68" i="10" l="1"/>
  <c r="F67" i="10" l="1"/>
  <c r="D85" i="10"/>
  <c r="D36" i="10"/>
  <c r="C33" i="10"/>
  <c r="D97" i="10" l="1"/>
  <c r="D95" i="10"/>
  <c r="G86" i="10"/>
  <c r="J86" i="10" s="1"/>
  <c r="G85" i="10"/>
  <c r="J85" i="10" s="1"/>
  <c r="G84" i="10"/>
  <c r="J84" i="10" s="1"/>
  <c r="G83" i="10"/>
  <c r="J83" i="10" s="1"/>
  <c r="G82" i="10"/>
  <c r="J82" i="10" s="1"/>
  <c r="G81" i="10"/>
  <c r="J81" i="10" s="1"/>
  <c r="G80" i="10"/>
  <c r="J80" i="10" s="1"/>
  <c r="G79" i="10"/>
  <c r="J79" i="10" s="1"/>
  <c r="G78" i="10"/>
  <c r="J78" i="10" s="1"/>
  <c r="I77" i="10"/>
  <c r="H77" i="10"/>
  <c r="F77" i="10"/>
  <c r="D77" i="10"/>
  <c r="C77" i="10"/>
  <c r="G76" i="10"/>
  <c r="G75" i="10"/>
  <c r="G74" i="10"/>
  <c r="G73" i="10"/>
  <c r="D72" i="10"/>
  <c r="C72" i="10"/>
  <c r="G69" i="10"/>
  <c r="G68" i="10"/>
  <c r="D66" i="10"/>
  <c r="G67" i="10"/>
  <c r="C66" i="10"/>
  <c r="G61" i="10"/>
  <c r="F61" i="10" s="1"/>
  <c r="G60" i="10"/>
  <c r="F60" i="10" s="1"/>
  <c r="G59" i="10"/>
  <c r="F59" i="10" s="1"/>
  <c r="G58" i="10"/>
  <c r="F58" i="10" s="1"/>
  <c r="J57" i="10"/>
  <c r="I57" i="10"/>
  <c r="H57" i="10"/>
  <c r="D57" i="10"/>
  <c r="C57" i="10"/>
  <c r="H56" i="10"/>
  <c r="H52" i="10" s="1"/>
  <c r="G55" i="10"/>
  <c r="F55" i="10" s="1"/>
  <c r="G54" i="10"/>
  <c r="F54" i="10" s="1"/>
  <c r="G53" i="10"/>
  <c r="F53" i="10" s="1"/>
  <c r="J52" i="10"/>
  <c r="I52" i="10"/>
  <c r="D52" i="10"/>
  <c r="C52" i="10"/>
  <c r="G44" i="10"/>
  <c r="F44" i="10" s="1"/>
  <c r="G43" i="10"/>
  <c r="F43" i="10" s="1"/>
  <c r="G42" i="10"/>
  <c r="F42" i="10" s="1"/>
  <c r="G41" i="10"/>
  <c r="F41" i="10" s="1"/>
  <c r="J40" i="10"/>
  <c r="I40" i="10"/>
  <c r="H40" i="10"/>
  <c r="D40" i="10"/>
  <c r="C40" i="10"/>
  <c r="H39" i="10"/>
  <c r="H38" i="10"/>
  <c r="G38" i="10" s="1"/>
  <c r="F38" i="10" s="1"/>
  <c r="H37" i="10"/>
  <c r="G37" i="10" s="1"/>
  <c r="D37" i="10"/>
  <c r="D35" i="10" s="1"/>
  <c r="G36" i="10"/>
  <c r="F36" i="10" s="1"/>
  <c r="J35" i="10"/>
  <c r="I35" i="10"/>
  <c r="C35" i="10"/>
  <c r="G34" i="10"/>
  <c r="F34" i="10" s="1"/>
  <c r="G33" i="10"/>
  <c r="F33" i="10" s="1"/>
  <c r="G32" i="10"/>
  <c r="G31" i="10"/>
  <c r="J30" i="10"/>
  <c r="I30" i="10"/>
  <c r="H30" i="10"/>
  <c r="D30" i="10"/>
  <c r="C30" i="10"/>
  <c r="G29" i="10"/>
  <c r="C29" i="10"/>
  <c r="C26" i="10" s="1"/>
  <c r="G28" i="10"/>
  <c r="F28" i="10" s="1"/>
  <c r="G27" i="10"/>
  <c r="F27" i="10" s="1"/>
  <c r="J26" i="10"/>
  <c r="I26" i="10"/>
  <c r="H26" i="10"/>
  <c r="D26" i="10"/>
  <c r="G25" i="10"/>
  <c r="F25" i="10" s="1"/>
  <c r="J24" i="10"/>
  <c r="J20" i="10" s="1"/>
  <c r="G24" i="10"/>
  <c r="F24" i="10" s="1"/>
  <c r="G23" i="10"/>
  <c r="F23" i="10" s="1"/>
  <c r="G22" i="10"/>
  <c r="F22" i="10" s="1"/>
  <c r="G21" i="10"/>
  <c r="F21" i="10" s="1"/>
  <c r="I20" i="10"/>
  <c r="H20" i="10"/>
  <c r="D20" i="10"/>
  <c r="C20" i="10"/>
  <c r="J19" i="10"/>
  <c r="J15" i="10" s="1"/>
  <c r="G19" i="10"/>
  <c r="F19" i="10" s="1"/>
  <c r="H18" i="10"/>
  <c r="G18" i="10" s="1"/>
  <c r="D18" i="10"/>
  <c r="D15" i="10" s="1"/>
  <c r="C18" i="10"/>
  <c r="C15" i="10" s="1"/>
  <c r="G17" i="10"/>
  <c r="F17" i="10" s="1"/>
  <c r="G16" i="10"/>
  <c r="F16" i="10" s="1"/>
  <c r="I15" i="10"/>
  <c r="G14" i="10"/>
  <c r="F14" i="10" s="1"/>
  <c r="H13" i="10"/>
  <c r="G13" i="10" s="1"/>
  <c r="D13" i="10"/>
  <c r="G12" i="10"/>
  <c r="D12" i="10"/>
  <c r="C12" i="10"/>
  <c r="C11" i="10" s="1"/>
  <c r="J11" i="10"/>
  <c r="I11" i="10"/>
  <c r="G10" i="10"/>
  <c r="D10" i="10"/>
  <c r="D8" i="10" s="1"/>
  <c r="G9" i="10"/>
  <c r="C9" i="10"/>
  <c r="C8" i="10" s="1"/>
  <c r="J8" i="10"/>
  <c r="I8" i="10"/>
  <c r="H8" i="10"/>
  <c r="D101" i="10" l="1"/>
  <c r="G56" i="10"/>
  <c r="F56" i="10" s="1"/>
  <c r="F9" i="10"/>
  <c r="G8" i="10"/>
  <c r="E103" i="10" s="1"/>
  <c r="G52" i="10"/>
  <c r="F52" i="10" s="1"/>
  <c r="F31" i="10"/>
  <c r="F29" i="10"/>
  <c r="F37" i="10"/>
  <c r="G30" i="10"/>
  <c r="E108" i="10" s="1"/>
  <c r="J62" i="10"/>
  <c r="F18" i="10"/>
  <c r="F12" i="10"/>
  <c r="G40" i="10"/>
  <c r="F40" i="10" s="1"/>
  <c r="G26" i="10"/>
  <c r="E107" i="10" s="1"/>
  <c r="H11" i="10"/>
  <c r="G11" i="10" s="1"/>
  <c r="E104" i="10" s="1"/>
  <c r="H15" i="10"/>
  <c r="G15" i="10" s="1"/>
  <c r="E105" i="10" s="1"/>
  <c r="G20" i="10"/>
  <c r="E106" i="10" s="1"/>
  <c r="H35" i="10"/>
  <c r="G35" i="10" s="1"/>
  <c r="F35" i="10" s="1"/>
  <c r="F10" i="10"/>
  <c r="D11" i="10"/>
  <c r="D62" i="10" s="1"/>
  <c r="G77" i="10"/>
  <c r="G90" i="10" s="1"/>
  <c r="E111" i="10"/>
  <c r="I62" i="10"/>
  <c r="E109" i="10"/>
  <c r="C62" i="10"/>
  <c r="J77" i="10"/>
  <c r="G57" i="10"/>
  <c r="G39" i="10"/>
  <c r="F39" i="10" s="1"/>
  <c r="F72" i="10"/>
  <c r="G72" i="10" s="1"/>
  <c r="D13" i="9"/>
  <c r="D37" i="9"/>
  <c r="F8" i="10" l="1"/>
  <c r="E95" i="10"/>
  <c r="F95" i="10" s="1"/>
  <c r="E96" i="10"/>
  <c r="F96" i="10" s="1"/>
  <c r="F30" i="10"/>
  <c r="E110" i="10"/>
  <c r="F26" i="10"/>
  <c r="H62" i="10"/>
  <c r="F15" i="10"/>
  <c r="F20" i="10"/>
  <c r="F11" i="10"/>
  <c r="I112" i="10"/>
  <c r="G89" i="10"/>
  <c r="I111" i="10"/>
  <c r="G62" i="10"/>
  <c r="F57" i="10"/>
  <c r="E112" i="10"/>
  <c r="E113" i="10" s="1"/>
  <c r="I109" i="10" s="1"/>
  <c r="C70" i="9"/>
  <c r="G76" i="9"/>
  <c r="H9" i="9"/>
  <c r="G95" i="10" l="1"/>
  <c r="F70" i="10" s="1"/>
  <c r="G70" i="10" s="1"/>
  <c r="F62" i="10"/>
  <c r="G63" i="10" s="1"/>
  <c r="G87" i="10"/>
  <c r="D9" i="9"/>
  <c r="I90" i="10" l="1"/>
  <c r="G66" i="10"/>
  <c r="F66" i="10"/>
  <c r="J24" i="9"/>
  <c r="J19" i="9"/>
  <c r="I41" i="9"/>
  <c r="I110" i="10" l="1"/>
  <c r="I113" i="10" s="1"/>
  <c r="G88" i="10"/>
  <c r="H87" i="10" s="1"/>
  <c r="H54" i="9"/>
  <c r="H53" i="9"/>
  <c r="H12" i="9"/>
  <c r="H38" i="9"/>
  <c r="H36" i="9"/>
  <c r="H14" i="9"/>
  <c r="C18" i="9" l="1"/>
  <c r="H16" i="9" l="1"/>
  <c r="H37" i="9" l="1"/>
  <c r="H10" i="9" l="1"/>
  <c r="H39" i="9" l="1"/>
  <c r="H33" i="9"/>
  <c r="C9" i="9" l="1"/>
  <c r="C29" i="9"/>
  <c r="D98" i="9" l="1"/>
  <c r="D97" i="9"/>
  <c r="D95" i="9"/>
  <c r="G86" i="9"/>
  <c r="J86" i="9" s="1"/>
  <c r="G85" i="9"/>
  <c r="J85" i="9" s="1"/>
  <c r="G84" i="9"/>
  <c r="J84" i="9" s="1"/>
  <c r="G83" i="9"/>
  <c r="J83" i="9" s="1"/>
  <c r="G82" i="9"/>
  <c r="J82" i="9" s="1"/>
  <c r="G81" i="9"/>
  <c r="J81" i="9" s="1"/>
  <c r="G80" i="9"/>
  <c r="J80" i="9" s="1"/>
  <c r="G79" i="9"/>
  <c r="J79" i="9" s="1"/>
  <c r="G78" i="9"/>
  <c r="J78" i="9" s="1"/>
  <c r="I77" i="9"/>
  <c r="H77" i="9"/>
  <c r="F77" i="9"/>
  <c r="D77" i="9"/>
  <c r="C77" i="9"/>
  <c r="G75" i="9"/>
  <c r="G74" i="9"/>
  <c r="G73" i="9"/>
  <c r="F72" i="9"/>
  <c r="D72" i="9"/>
  <c r="C72" i="9"/>
  <c r="G69" i="9"/>
  <c r="D68" i="9"/>
  <c r="G68" i="9" s="1"/>
  <c r="G67" i="9"/>
  <c r="C66" i="9"/>
  <c r="G61" i="9"/>
  <c r="F61" i="9" s="1"/>
  <c r="G60" i="9"/>
  <c r="F60" i="9" s="1"/>
  <c r="G59" i="9"/>
  <c r="F59" i="9" s="1"/>
  <c r="G58" i="9"/>
  <c r="F58" i="9" s="1"/>
  <c r="J57" i="9"/>
  <c r="I57" i="9"/>
  <c r="H57" i="9"/>
  <c r="D57" i="9"/>
  <c r="C57" i="9"/>
  <c r="H56" i="9"/>
  <c r="G56" i="9" s="1"/>
  <c r="F56" i="9" s="1"/>
  <c r="G55" i="9"/>
  <c r="F55" i="9" s="1"/>
  <c r="G54" i="9"/>
  <c r="F54" i="9" s="1"/>
  <c r="G53" i="9"/>
  <c r="F53" i="9" s="1"/>
  <c r="J52" i="9"/>
  <c r="I52" i="9"/>
  <c r="D52" i="9"/>
  <c r="C52" i="9"/>
  <c r="G44" i="9"/>
  <c r="F44" i="9" s="1"/>
  <c r="G43" i="9"/>
  <c r="F43" i="9" s="1"/>
  <c r="G42" i="9"/>
  <c r="F42" i="9" s="1"/>
  <c r="G41" i="9"/>
  <c r="F41" i="9" s="1"/>
  <c r="J40" i="9"/>
  <c r="I40" i="9"/>
  <c r="H40" i="9"/>
  <c r="D40" i="9"/>
  <c r="C40" i="9"/>
  <c r="G39" i="9"/>
  <c r="F39" i="9" s="1"/>
  <c r="G38" i="9"/>
  <c r="F38" i="9" s="1"/>
  <c r="G37" i="9"/>
  <c r="F37" i="9" s="1"/>
  <c r="G36" i="9"/>
  <c r="F36" i="9" s="1"/>
  <c r="J35" i="9"/>
  <c r="I35" i="9"/>
  <c r="D35" i="9"/>
  <c r="C35" i="9"/>
  <c r="G34" i="9"/>
  <c r="F34" i="9" s="1"/>
  <c r="G33" i="9"/>
  <c r="F33" i="9" s="1"/>
  <c r="G32" i="9"/>
  <c r="G31" i="9"/>
  <c r="J30" i="9"/>
  <c r="I30" i="9"/>
  <c r="H30" i="9"/>
  <c r="D30" i="9"/>
  <c r="C30" i="9"/>
  <c r="G29" i="9"/>
  <c r="F29" i="9" s="1"/>
  <c r="G28" i="9"/>
  <c r="F28" i="9" s="1"/>
  <c r="G27" i="9"/>
  <c r="F27" i="9" s="1"/>
  <c r="J26" i="9"/>
  <c r="I26" i="9"/>
  <c r="H26" i="9"/>
  <c r="D26" i="9"/>
  <c r="C26" i="9"/>
  <c r="G25" i="9"/>
  <c r="F25" i="9" s="1"/>
  <c r="G24" i="9"/>
  <c r="F24" i="9" s="1"/>
  <c r="G23" i="9"/>
  <c r="F23" i="9" s="1"/>
  <c r="G22" i="9"/>
  <c r="F22" i="9" s="1"/>
  <c r="G21" i="9"/>
  <c r="F21" i="9" s="1"/>
  <c r="J20" i="9"/>
  <c r="I20" i="9"/>
  <c r="H20" i="9"/>
  <c r="D20" i="9"/>
  <c r="C20" i="9"/>
  <c r="G19" i="9"/>
  <c r="F19" i="9" s="1"/>
  <c r="H18" i="9"/>
  <c r="G18" i="9" s="1"/>
  <c r="D18" i="9"/>
  <c r="D15" i="9" s="1"/>
  <c r="C15" i="9"/>
  <c r="G17" i="9"/>
  <c r="F17" i="9" s="1"/>
  <c r="G16" i="9"/>
  <c r="F16" i="9" s="1"/>
  <c r="J15" i="9"/>
  <c r="I15" i="9"/>
  <c r="G14" i="9"/>
  <c r="F14" i="9" s="1"/>
  <c r="H13" i="9"/>
  <c r="G13" i="9" s="1"/>
  <c r="G12" i="9"/>
  <c r="D12" i="9"/>
  <c r="D11" i="9" s="1"/>
  <c r="C12" i="9"/>
  <c r="C11" i="9" s="1"/>
  <c r="J11" i="9"/>
  <c r="I11" i="9"/>
  <c r="G10" i="9"/>
  <c r="D10" i="9"/>
  <c r="D8" i="9" s="1"/>
  <c r="G9" i="9"/>
  <c r="F9" i="9" s="1"/>
  <c r="J8" i="9"/>
  <c r="I8" i="9"/>
  <c r="H8" i="9"/>
  <c r="D18" i="8"/>
  <c r="G8" i="9" l="1"/>
  <c r="D101" i="9"/>
  <c r="G57" i="9"/>
  <c r="F57" i="9" s="1"/>
  <c r="D66" i="9"/>
  <c r="G30" i="9"/>
  <c r="F30" i="9" s="1"/>
  <c r="F10" i="9"/>
  <c r="H11" i="9"/>
  <c r="G11" i="9" s="1"/>
  <c r="F11" i="9" s="1"/>
  <c r="G40" i="9"/>
  <c r="F40" i="9" s="1"/>
  <c r="F31" i="9"/>
  <c r="F12" i="9"/>
  <c r="F18" i="9"/>
  <c r="E95" i="9" s="1"/>
  <c r="F95" i="9" s="1"/>
  <c r="J62" i="9"/>
  <c r="G26" i="9"/>
  <c r="F26" i="9" s="1"/>
  <c r="G20" i="9"/>
  <c r="F20" i="9" s="1"/>
  <c r="I62" i="9"/>
  <c r="G72" i="9"/>
  <c r="I111" i="9" s="1"/>
  <c r="G77" i="9"/>
  <c r="J77" i="9"/>
  <c r="D62" i="9"/>
  <c r="E103" i="9"/>
  <c r="C8" i="9"/>
  <c r="F8" i="9" s="1"/>
  <c r="H15" i="9"/>
  <c r="G15" i="9" s="1"/>
  <c r="H35" i="9"/>
  <c r="G35" i="9" s="1"/>
  <c r="H52" i="9"/>
  <c r="E112" i="9" l="1"/>
  <c r="E107" i="9"/>
  <c r="E108" i="9"/>
  <c r="E110" i="9"/>
  <c r="E106" i="9"/>
  <c r="E104" i="9"/>
  <c r="E96" i="9"/>
  <c r="F96" i="9" s="1"/>
  <c r="G95" i="9" s="1"/>
  <c r="G90" i="9"/>
  <c r="I112" i="9"/>
  <c r="G89" i="9"/>
  <c r="C62" i="9"/>
  <c r="H62" i="9"/>
  <c r="G52" i="9"/>
  <c r="F35" i="9"/>
  <c r="E109" i="9"/>
  <c r="F15" i="9"/>
  <c r="E105" i="9"/>
  <c r="F52" i="9" l="1"/>
  <c r="E111" i="9"/>
  <c r="E113" i="9" s="1"/>
  <c r="I109" i="9" s="1"/>
  <c r="G62" i="9"/>
  <c r="I90" i="9"/>
  <c r="F70" i="9"/>
  <c r="G70" i="9" s="1"/>
  <c r="G87" i="9" l="1"/>
  <c r="F62" i="9"/>
  <c r="G63" i="9" s="1"/>
  <c r="F66" i="9"/>
  <c r="G66" i="9"/>
  <c r="I110" i="9" l="1"/>
  <c r="I113" i="9" s="1"/>
  <c r="G88" i="9"/>
  <c r="H87" i="9" s="1"/>
  <c r="J19" i="8" l="1"/>
  <c r="D12" i="8" l="1"/>
  <c r="D10" i="8"/>
  <c r="H12" i="8" l="1"/>
  <c r="I41" i="8" l="1"/>
  <c r="D97" i="8" l="1"/>
  <c r="D95" i="8"/>
  <c r="D98" i="8" l="1"/>
  <c r="H10" i="8" l="1"/>
  <c r="H33" i="8" l="1"/>
  <c r="C30" i="8" l="1"/>
  <c r="H18" i="8"/>
  <c r="D13" i="8"/>
  <c r="C18" i="8" l="1"/>
  <c r="H13" i="8" l="1"/>
  <c r="H39" i="8"/>
  <c r="H56" i="8"/>
  <c r="D9" i="8"/>
  <c r="D68" i="8"/>
  <c r="C9" i="8"/>
  <c r="C12" i="8" l="1"/>
  <c r="D101" i="8" l="1"/>
  <c r="G86" i="8"/>
  <c r="J86" i="8" s="1"/>
  <c r="G85" i="8"/>
  <c r="J85" i="8" s="1"/>
  <c r="G84" i="8"/>
  <c r="J84" i="8" s="1"/>
  <c r="G83" i="8"/>
  <c r="J83" i="8" s="1"/>
  <c r="F77" i="8"/>
  <c r="G81" i="8"/>
  <c r="J81" i="8" s="1"/>
  <c r="G80" i="8"/>
  <c r="J80" i="8" s="1"/>
  <c r="G79" i="8"/>
  <c r="J79" i="8" s="1"/>
  <c r="G78" i="8"/>
  <c r="J78" i="8" s="1"/>
  <c r="I77" i="8"/>
  <c r="H77" i="8"/>
  <c r="D77" i="8"/>
  <c r="C77" i="8"/>
  <c r="G76" i="8"/>
  <c r="G75" i="8"/>
  <c r="G74" i="8"/>
  <c r="F72" i="8"/>
  <c r="D72" i="8"/>
  <c r="C72" i="8"/>
  <c r="G69" i="8"/>
  <c r="D66" i="8"/>
  <c r="G67" i="8"/>
  <c r="G61" i="8"/>
  <c r="F61" i="8" s="1"/>
  <c r="G60" i="8"/>
  <c r="F60" i="8" s="1"/>
  <c r="G59" i="8"/>
  <c r="F59" i="8" s="1"/>
  <c r="G58" i="8"/>
  <c r="F58" i="8" s="1"/>
  <c r="J57" i="8"/>
  <c r="I57" i="8"/>
  <c r="H57" i="8"/>
  <c r="D57" i="8"/>
  <c r="C57" i="8"/>
  <c r="G56" i="8"/>
  <c r="F56" i="8" s="1"/>
  <c r="G55" i="8"/>
  <c r="F55" i="8" s="1"/>
  <c r="G54" i="8"/>
  <c r="F54" i="8" s="1"/>
  <c r="G53" i="8"/>
  <c r="F53" i="8" s="1"/>
  <c r="J52" i="8"/>
  <c r="I52" i="8"/>
  <c r="D52" i="8"/>
  <c r="C52" i="8"/>
  <c r="G44" i="8"/>
  <c r="F44" i="8" s="1"/>
  <c r="G43" i="8"/>
  <c r="F43" i="8" s="1"/>
  <c r="G42" i="8"/>
  <c r="F42" i="8" s="1"/>
  <c r="G41" i="8"/>
  <c r="F41" i="8" s="1"/>
  <c r="J40" i="8"/>
  <c r="H40" i="8"/>
  <c r="D40" i="8"/>
  <c r="C40" i="8"/>
  <c r="G39" i="8"/>
  <c r="F39" i="8" s="1"/>
  <c r="G38" i="8"/>
  <c r="F38" i="8" s="1"/>
  <c r="G37" i="8"/>
  <c r="F37" i="8" s="1"/>
  <c r="G36" i="8"/>
  <c r="F36" i="8" s="1"/>
  <c r="J35" i="8"/>
  <c r="I35" i="8"/>
  <c r="D35" i="8"/>
  <c r="C35" i="8"/>
  <c r="G34" i="8"/>
  <c r="F34" i="8" s="1"/>
  <c r="G33" i="8"/>
  <c r="F33" i="8" s="1"/>
  <c r="G32" i="8"/>
  <c r="G31" i="8"/>
  <c r="J30" i="8"/>
  <c r="I30" i="8"/>
  <c r="D30" i="8"/>
  <c r="G29" i="8"/>
  <c r="F29" i="8" s="1"/>
  <c r="G28" i="8"/>
  <c r="F28" i="8" s="1"/>
  <c r="G27" i="8"/>
  <c r="F27" i="8" s="1"/>
  <c r="J26" i="8"/>
  <c r="I26" i="8"/>
  <c r="H26" i="8"/>
  <c r="D26" i="8"/>
  <c r="C26" i="8"/>
  <c r="G25" i="8"/>
  <c r="F25" i="8" s="1"/>
  <c r="G24" i="8"/>
  <c r="F24" i="8" s="1"/>
  <c r="G23" i="8"/>
  <c r="F23" i="8" s="1"/>
  <c r="G22" i="8"/>
  <c r="F22" i="8" s="1"/>
  <c r="G21" i="8"/>
  <c r="F21" i="8" s="1"/>
  <c r="J20" i="8"/>
  <c r="I20" i="8"/>
  <c r="H20" i="8"/>
  <c r="D20" i="8"/>
  <c r="C20" i="8"/>
  <c r="G19" i="8"/>
  <c r="F19" i="8" s="1"/>
  <c r="G18" i="8"/>
  <c r="F18" i="8" s="1"/>
  <c r="D15" i="8"/>
  <c r="G17" i="8"/>
  <c r="F17" i="8" s="1"/>
  <c r="G16" i="8"/>
  <c r="F16" i="8" s="1"/>
  <c r="J15" i="8"/>
  <c r="I15" i="8"/>
  <c r="C15" i="8"/>
  <c r="G14" i="8"/>
  <c r="F14" i="8" s="1"/>
  <c r="G13" i="8"/>
  <c r="H11" i="8"/>
  <c r="G12" i="8"/>
  <c r="F12" i="8" s="1"/>
  <c r="D11" i="8"/>
  <c r="J11" i="8"/>
  <c r="I11" i="8"/>
  <c r="C11" i="8"/>
  <c r="G10" i="8"/>
  <c r="F10" i="8" s="1"/>
  <c r="G9" i="8"/>
  <c r="F9" i="8" s="1"/>
  <c r="C8" i="8"/>
  <c r="J8" i="8"/>
  <c r="I8" i="8"/>
  <c r="D8" i="8"/>
  <c r="G72" i="8" l="1"/>
  <c r="I111" i="8" s="1"/>
  <c r="J62" i="8"/>
  <c r="G26" i="8"/>
  <c r="F26" i="8" s="1"/>
  <c r="G20" i="8"/>
  <c r="F20" i="8" s="1"/>
  <c r="G77" i="8"/>
  <c r="G90" i="8" s="1"/>
  <c r="F31" i="8"/>
  <c r="E96" i="8" s="1"/>
  <c r="F96" i="8" s="1"/>
  <c r="G11" i="8"/>
  <c r="F11" i="8" s="1"/>
  <c r="C62" i="8"/>
  <c r="D62" i="8"/>
  <c r="E95" i="8"/>
  <c r="F95" i="8" s="1"/>
  <c r="E99" i="8"/>
  <c r="F99" i="8" s="1"/>
  <c r="H8" i="8"/>
  <c r="G8" i="8" s="1"/>
  <c r="I40" i="8"/>
  <c r="G40" i="8" s="1"/>
  <c r="H52" i="8"/>
  <c r="G52" i="8" s="1"/>
  <c r="G57" i="8"/>
  <c r="C66" i="8"/>
  <c r="G68" i="8"/>
  <c r="G73" i="8"/>
  <c r="G82" i="8"/>
  <c r="J82" i="8" s="1"/>
  <c r="J77" i="8" s="1"/>
  <c r="E107" i="8"/>
  <c r="H15" i="8"/>
  <c r="G15" i="8" s="1"/>
  <c r="H30" i="8"/>
  <c r="G30" i="8" s="1"/>
  <c r="H35" i="8"/>
  <c r="G35" i="8" s="1"/>
  <c r="I112" i="8" l="1"/>
  <c r="G89" i="8"/>
  <c r="E106" i="8"/>
  <c r="E104" i="8"/>
  <c r="G95" i="8"/>
  <c r="F40" i="8"/>
  <c r="E110" i="8"/>
  <c r="E105" i="8"/>
  <c r="F15" i="8"/>
  <c r="E109" i="8"/>
  <c r="F35" i="8"/>
  <c r="G62" i="8"/>
  <c r="E112" i="8"/>
  <c r="F57" i="8"/>
  <c r="I62" i="8"/>
  <c r="H62" i="8"/>
  <c r="F8" i="8"/>
  <c r="E103" i="8"/>
  <c r="E108" i="8"/>
  <c r="F30" i="8"/>
  <c r="E111" i="8"/>
  <c r="F52" i="8"/>
  <c r="I90" i="8" l="1"/>
  <c r="F70" i="8"/>
  <c r="G70" i="8"/>
  <c r="G66" i="8" s="1"/>
  <c r="E113" i="8"/>
  <c r="I109" i="8" s="1"/>
  <c r="G87" i="8"/>
  <c r="F62" i="8"/>
  <c r="G63" i="8" s="1"/>
  <c r="F66" i="8" l="1"/>
  <c r="I110" i="8"/>
  <c r="I113" i="8" s="1"/>
  <c r="G88" i="8"/>
  <c r="H87" i="8" s="1"/>
  <c r="F67" i="7" l="1"/>
  <c r="C69" i="7" l="1"/>
  <c r="G69" i="7" s="1"/>
  <c r="C18" i="7"/>
  <c r="D18" i="7"/>
  <c r="H18" i="7"/>
  <c r="G18" i="7" s="1"/>
  <c r="H10" i="7"/>
  <c r="G10" i="7" s="1"/>
  <c r="C16" i="7"/>
  <c r="H33" i="7"/>
  <c r="G33" i="7" s="1"/>
  <c r="C33" i="7"/>
  <c r="C30" i="7" s="1"/>
  <c r="H12" i="7"/>
  <c r="G12" i="7" s="1"/>
  <c r="F73" i="7"/>
  <c r="H36" i="7"/>
  <c r="H55" i="7"/>
  <c r="G55" i="7" s="1"/>
  <c r="F55" i="7" s="1"/>
  <c r="F82" i="7"/>
  <c r="G82" i="7" s="1"/>
  <c r="J82" i="7" s="1"/>
  <c r="D70" i="7"/>
  <c r="D10" i="7"/>
  <c r="C17" i="7"/>
  <c r="D17" i="7"/>
  <c r="H17" i="7"/>
  <c r="G17" i="7" s="1"/>
  <c r="H16" i="7"/>
  <c r="H15" i="7" s="1"/>
  <c r="D9" i="7"/>
  <c r="H9" i="7"/>
  <c r="D101" i="7"/>
  <c r="G86" i="7"/>
  <c r="J86" i="7" s="1"/>
  <c r="G85" i="7"/>
  <c r="J85" i="7" s="1"/>
  <c r="G84" i="7"/>
  <c r="J84" i="7" s="1"/>
  <c r="G83" i="7"/>
  <c r="J83" i="7" s="1"/>
  <c r="G81" i="7"/>
  <c r="J81" i="7" s="1"/>
  <c r="G80" i="7"/>
  <c r="J80" i="7" s="1"/>
  <c r="G79" i="7"/>
  <c r="J79" i="7" s="1"/>
  <c r="G78" i="7"/>
  <c r="J78" i="7" s="1"/>
  <c r="I77" i="7"/>
  <c r="H77" i="7"/>
  <c r="D77" i="7"/>
  <c r="C77" i="7"/>
  <c r="G76" i="7"/>
  <c r="G75" i="7"/>
  <c r="G74" i="7"/>
  <c r="F72" i="7"/>
  <c r="D72" i="7"/>
  <c r="C72" i="7"/>
  <c r="C70" i="7"/>
  <c r="D68" i="7"/>
  <c r="D67" i="7"/>
  <c r="G67" i="7" s="1"/>
  <c r="G61" i="7"/>
  <c r="F61" i="7" s="1"/>
  <c r="G60" i="7"/>
  <c r="F60" i="7" s="1"/>
  <c r="G59" i="7"/>
  <c r="F59" i="7" s="1"/>
  <c r="G58" i="7"/>
  <c r="F58" i="7" s="1"/>
  <c r="J57" i="7"/>
  <c r="I57" i="7"/>
  <c r="H57" i="7"/>
  <c r="D57" i="7"/>
  <c r="C57" i="7"/>
  <c r="G56" i="7"/>
  <c r="F56" i="7" s="1"/>
  <c r="G54" i="7"/>
  <c r="F54" i="7" s="1"/>
  <c r="H53" i="7"/>
  <c r="G53" i="7" s="1"/>
  <c r="F53" i="7" s="1"/>
  <c r="J52" i="7"/>
  <c r="I52" i="7"/>
  <c r="D52" i="7"/>
  <c r="C52" i="7"/>
  <c r="G44" i="7"/>
  <c r="F44" i="7" s="1"/>
  <c r="G43" i="7"/>
  <c r="F43" i="7" s="1"/>
  <c r="I42" i="7"/>
  <c r="I40" i="7" s="1"/>
  <c r="G41" i="7"/>
  <c r="C41" i="7"/>
  <c r="J40" i="7"/>
  <c r="H40" i="7"/>
  <c r="D40" i="7"/>
  <c r="H39" i="7"/>
  <c r="G39" i="7" s="1"/>
  <c r="F39" i="7" s="1"/>
  <c r="G38" i="7"/>
  <c r="F38" i="7" s="1"/>
  <c r="G37" i="7"/>
  <c r="F37" i="7" s="1"/>
  <c r="G36" i="7"/>
  <c r="F36" i="7" s="1"/>
  <c r="J35" i="7"/>
  <c r="I35" i="7"/>
  <c r="D35" i="7"/>
  <c r="C35" i="7"/>
  <c r="G34" i="7"/>
  <c r="F34" i="7" s="1"/>
  <c r="G32" i="7"/>
  <c r="H31" i="7"/>
  <c r="G31" i="7" s="1"/>
  <c r="J30" i="7"/>
  <c r="I30" i="7"/>
  <c r="D30" i="7"/>
  <c r="G29" i="7"/>
  <c r="F29" i="7" s="1"/>
  <c r="G28" i="7"/>
  <c r="F28" i="7" s="1"/>
  <c r="G27" i="7"/>
  <c r="F27" i="7" s="1"/>
  <c r="J26" i="7"/>
  <c r="I26" i="7"/>
  <c r="H26" i="7"/>
  <c r="D26" i="7"/>
  <c r="C26" i="7"/>
  <c r="G25" i="7"/>
  <c r="F25" i="7" s="1"/>
  <c r="J24" i="7"/>
  <c r="J20" i="7" s="1"/>
  <c r="I24" i="7"/>
  <c r="G24" i="7" s="1"/>
  <c r="F24" i="7" s="1"/>
  <c r="G23" i="7"/>
  <c r="F23" i="7" s="1"/>
  <c r="G22" i="7"/>
  <c r="F22" i="7" s="1"/>
  <c r="G21" i="7"/>
  <c r="F21" i="7" s="1"/>
  <c r="H20" i="7"/>
  <c r="D20" i="7"/>
  <c r="C20" i="7"/>
  <c r="G19" i="7"/>
  <c r="F19" i="7" s="1"/>
  <c r="I16" i="7"/>
  <c r="I15" i="7" s="1"/>
  <c r="J15" i="7"/>
  <c r="H14" i="7"/>
  <c r="G14" i="7" s="1"/>
  <c r="F14" i="7" s="1"/>
  <c r="H13" i="7"/>
  <c r="G13" i="7" s="1"/>
  <c r="D13" i="7"/>
  <c r="D12" i="7"/>
  <c r="D11" i="7" s="1"/>
  <c r="J11" i="7"/>
  <c r="I11" i="7"/>
  <c r="C11" i="7"/>
  <c r="C9" i="7"/>
  <c r="C8" i="7" s="1"/>
  <c r="J8" i="7"/>
  <c r="I8" i="7"/>
  <c r="D8" i="7" l="1"/>
  <c r="F31" i="7"/>
  <c r="H8" i="7"/>
  <c r="G8" i="7" s="1"/>
  <c r="F8" i="7" s="1"/>
  <c r="F17" i="7"/>
  <c r="F41" i="7"/>
  <c r="H30" i="7"/>
  <c r="G30" i="7" s="1"/>
  <c r="D15" i="7"/>
  <c r="D62" i="7" s="1"/>
  <c r="G16" i="7"/>
  <c r="F16" i="7" s="1"/>
  <c r="I20" i="7"/>
  <c r="G20" i="7" s="1"/>
  <c r="F77" i="7"/>
  <c r="G77" i="7" s="1"/>
  <c r="G90" i="7" s="1"/>
  <c r="F33" i="7"/>
  <c r="G42" i="7"/>
  <c r="F42" i="7" s="1"/>
  <c r="E99" i="7"/>
  <c r="F99" i="7" s="1"/>
  <c r="F10" i="7"/>
  <c r="G26" i="7"/>
  <c r="F26" i="7" s="1"/>
  <c r="F12" i="7"/>
  <c r="G15" i="7"/>
  <c r="E105" i="7" s="1"/>
  <c r="G72" i="7"/>
  <c r="G89" i="7" s="1"/>
  <c r="G40" i="7"/>
  <c r="E110" i="7" s="1"/>
  <c r="D66" i="7"/>
  <c r="C66" i="7"/>
  <c r="C15" i="7"/>
  <c r="F18" i="7"/>
  <c r="J77" i="7"/>
  <c r="G9" i="7"/>
  <c r="F9" i="7" s="1"/>
  <c r="J62" i="7"/>
  <c r="H35" i="7"/>
  <c r="G35" i="7" s="1"/>
  <c r="C40" i="7"/>
  <c r="H11" i="7"/>
  <c r="G11" i="7" s="1"/>
  <c r="H52" i="7"/>
  <c r="G52" i="7" s="1"/>
  <c r="G57" i="7"/>
  <c r="G68" i="7"/>
  <c r="G73" i="7"/>
  <c r="H12" i="6"/>
  <c r="H12" i="5"/>
  <c r="I62" i="7" l="1"/>
  <c r="E103" i="7"/>
  <c r="F15" i="7"/>
  <c r="F20" i="7"/>
  <c r="E106" i="7"/>
  <c r="E108" i="7"/>
  <c r="F30" i="7"/>
  <c r="E107" i="7"/>
  <c r="E95" i="7"/>
  <c r="F95" i="7" s="1"/>
  <c r="C62" i="7"/>
  <c r="E96" i="7"/>
  <c r="F96" i="7" s="1"/>
  <c r="I111" i="7"/>
  <c r="I112" i="7"/>
  <c r="H62" i="7"/>
  <c r="F40" i="7"/>
  <c r="E112" i="7"/>
  <c r="G62" i="7"/>
  <c r="F57" i="7"/>
  <c r="E109" i="7"/>
  <c r="F35" i="7"/>
  <c r="E111" i="7"/>
  <c r="F52" i="7"/>
  <c r="F11" i="7"/>
  <c r="E104" i="7"/>
  <c r="F67" i="6"/>
  <c r="H53" i="6"/>
  <c r="D67" i="6"/>
  <c r="H39" i="6"/>
  <c r="H33" i="6"/>
  <c r="C33" i="6"/>
  <c r="F73" i="6"/>
  <c r="G95" i="7" l="1"/>
  <c r="I90" i="7" s="1"/>
  <c r="E113" i="7"/>
  <c r="I109" i="7" s="1"/>
  <c r="G87" i="7"/>
  <c r="F62" i="7"/>
  <c r="G63" i="7" s="1"/>
  <c r="G67" i="6"/>
  <c r="F72" i="6"/>
  <c r="D70" i="6"/>
  <c r="H10" i="6"/>
  <c r="G10" i="6" s="1"/>
  <c r="D10" i="6"/>
  <c r="I42" i="6"/>
  <c r="G76" i="6"/>
  <c r="H9" i="6"/>
  <c r="G9" i="6" s="1"/>
  <c r="D9" i="6"/>
  <c r="D101" i="6"/>
  <c r="G86" i="6"/>
  <c r="J86" i="6" s="1"/>
  <c r="G85" i="6"/>
  <c r="J85" i="6" s="1"/>
  <c r="G84" i="6"/>
  <c r="J84" i="6" s="1"/>
  <c r="G83" i="6"/>
  <c r="J83" i="6" s="1"/>
  <c r="G82" i="6"/>
  <c r="J82" i="6" s="1"/>
  <c r="G81" i="6"/>
  <c r="J81" i="6" s="1"/>
  <c r="G80" i="6"/>
  <c r="J80" i="6" s="1"/>
  <c r="G79" i="6"/>
  <c r="J79" i="6" s="1"/>
  <c r="G78" i="6"/>
  <c r="J78" i="6" s="1"/>
  <c r="I77" i="6"/>
  <c r="H77" i="6"/>
  <c r="F77" i="6"/>
  <c r="D77" i="6"/>
  <c r="C77" i="6"/>
  <c r="G75" i="6"/>
  <c r="G74" i="6"/>
  <c r="D72" i="6"/>
  <c r="C72" i="6"/>
  <c r="C70" i="6"/>
  <c r="C69" i="6"/>
  <c r="G69" i="6" s="1"/>
  <c r="D68" i="6"/>
  <c r="G68" i="6" s="1"/>
  <c r="G61" i="6"/>
  <c r="F61" i="6" s="1"/>
  <c r="G60" i="6"/>
  <c r="F60" i="6" s="1"/>
  <c r="G59" i="6"/>
  <c r="F59" i="6" s="1"/>
  <c r="G58" i="6"/>
  <c r="F58" i="6" s="1"/>
  <c r="J57" i="6"/>
  <c r="I57" i="6"/>
  <c r="H57" i="6"/>
  <c r="D57" i="6"/>
  <c r="C57" i="6"/>
  <c r="G56" i="6"/>
  <c r="F56" i="6" s="1"/>
  <c r="H55" i="6"/>
  <c r="G55" i="6" s="1"/>
  <c r="F55" i="6" s="1"/>
  <c r="G54" i="6"/>
  <c r="F54" i="6" s="1"/>
  <c r="G53" i="6"/>
  <c r="F53" i="6" s="1"/>
  <c r="J52" i="6"/>
  <c r="I52" i="6"/>
  <c r="D52" i="6"/>
  <c r="C52" i="6"/>
  <c r="G44" i="6"/>
  <c r="F44" i="6" s="1"/>
  <c r="G43" i="6"/>
  <c r="F43" i="6" s="1"/>
  <c r="G42" i="6"/>
  <c r="F42" i="6" s="1"/>
  <c r="G41" i="6"/>
  <c r="C41" i="6"/>
  <c r="C40" i="6" s="1"/>
  <c r="J40" i="6"/>
  <c r="I40" i="6"/>
  <c r="H40" i="6"/>
  <c r="D40" i="6"/>
  <c r="H35" i="6"/>
  <c r="G38" i="6"/>
  <c r="F38" i="6" s="1"/>
  <c r="G37" i="6"/>
  <c r="F37" i="6" s="1"/>
  <c r="G36" i="6"/>
  <c r="F36" i="6" s="1"/>
  <c r="J35" i="6"/>
  <c r="I35" i="6"/>
  <c r="D35" i="6"/>
  <c r="C35" i="6"/>
  <c r="G34" i="6"/>
  <c r="F34" i="6" s="1"/>
  <c r="G33" i="6"/>
  <c r="F33" i="6" s="1"/>
  <c r="G32" i="6"/>
  <c r="H31" i="6"/>
  <c r="G31" i="6" s="1"/>
  <c r="J30" i="6"/>
  <c r="I30" i="6"/>
  <c r="D30" i="6"/>
  <c r="C30" i="6"/>
  <c r="G29" i="6"/>
  <c r="F29" i="6" s="1"/>
  <c r="G28" i="6"/>
  <c r="F28" i="6" s="1"/>
  <c r="G27" i="6"/>
  <c r="F27" i="6" s="1"/>
  <c r="J26" i="6"/>
  <c r="I26" i="6"/>
  <c r="H26" i="6"/>
  <c r="D26" i="6"/>
  <c r="C26" i="6"/>
  <c r="G25" i="6"/>
  <c r="F25" i="6" s="1"/>
  <c r="J24" i="6"/>
  <c r="J20" i="6" s="1"/>
  <c r="I24" i="6"/>
  <c r="I20" i="6" s="1"/>
  <c r="G23" i="6"/>
  <c r="F23" i="6" s="1"/>
  <c r="G22" i="6"/>
  <c r="F22" i="6" s="1"/>
  <c r="G21" i="6"/>
  <c r="F21" i="6" s="1"/>
  <c r="H20" i="6"/>
  <c r="D20" i="6"/>
  <c r="C20" i="6"/>
  <c r="G19" i="6"/>
  <c r="F19" i="6" s="1"/>
  <c r="G18" i="6"/>
  <c r="D18" i="6"/>
  <c r="C18" i="6"/>
  <c r="G17" i="6"/>
  <c r="C17" i="6"/>
  <c r="I16" i="6"/>
  <c r="H16" i="6"/>
  <c r="H15" i="6" s="1"/>
  <c r="C16" i="6"/>
  <c r="J15" i="6"/>
  <c r="D15" i="6"/>
  <c r="H14" i="6"/>
  <c r="G14" i="6" s="1"/>
  <c r="F14" i="6" s="1"/>
  <c r="H13" i="6"/>
  <c r="D13" i="6"/>
  <c r="G12" i="6"/>
  <c r="D12" i="6"/>
  <c r="J11" i="6"/>
  <c r="I11" i="6"/>
  <c r="C11" i="6"/>
  <c r="C9" i="6"/>
  <c r="C8" i="6" s="1"/>
  <c r="J8" i="6"/>
  <c r="I8" i="6"/>
  <c r="D66" i="6" l="1"/>
  <c r="G77" i="6"/>
  <c r="G90" i="6" s="1"/>
  <c r="F31" i="6"/>
  <c r="F70" i="7"/>
  <c r="F66" i="7" s="1"/>
  <c r="H11" i="6"/>
  <c r="G11" i="6" s="1"/>
  <c r="D8" i="6"/>
  <c r="G26" i="6"/>
  <c r="F26" i="6" s="1"/>
  <c r="E99" i="6"/>
  <c r="F99" i="6" s="1"/>
  <c r="G24" i="6"/>
  <c r="F24" i="6" s="1"/>
  <c r="F41" i="6"/>
  <c r="G13" i="6"/>
  <c r="F17" i="6"/>
  <c r="F10" i="6"/>
  <c r="D11" i="6"/>
  <c r="C66" i="6"/>
  <c r="G35" i="6"/>
  <c r="E109" i="6" s="1"/>
  <c r="F18" i="6"/>
  <c r="J62" i="6"/>
  <c r="F12" i="6"/>
  <c r="C15" i="6"/>
  <c r="C62" i="6" s="1"/>
  <c r="G72" i="6"/>
  <c r="G89" i="6" s="1"/>
  <c r="G40" i="6"/>
  <c r="F40" i="6" s="1"/>
  <c r="G16" i="6"/>
  <c r="F16" i="6" s="1"/>
  <c r="H8" i="6"/>
  <c r="G8" i="6" s="1"/>
  <c r="E103" i="6" s="1"/>
  <c r="G20" i="6"/>
  <c r="E106" i="6" s="1"/>
  <c r="F9" i="6"/>
  <c r="J77" i="6"/>
  <c r="G39" i="6"/>
  <c r="F39" i="6" s="1"/>
  <c r="I15" i="6"/>
  <c r="G15" i="6" s="1"/>
  <c r="H30" i="6"/>
  <c r="G30" i="6" s="1"/>
  <c r="G73" i="6"/>
  <c r="H52" i="6"/>
  <c r="G52" i="6" s="1"/>
  <c r="G57" i="6"/>
  <c r="F77" i="5"/>
  <c r="C69" i="5"/>
  <c r="C18" i="5"/>
  <c r="C17" i="5"/>
  <c r="C70" i="5"/>
  <c r="D70" i="5"/>
  <c r="I112" i="6" l="1"/>
  <c r="G70" i="7"/>
  <c r="G66" i="7" s="1"/>
  <c r="I110" i="7" s="1"/>
  <c r="I113" i="7" s="1"/>
  <c r="E107" i="6"/>
  <c r="D62" i="6"/>
  <c r="F8" i="6"/>
  <c r="E110" i="6"/>
  <c r="F11" i="6"/>
  <c r="F35" i="6"/>
  <c r="E104" i="6"/>
  <c r="F20" i="6"/>
  <c r="E95" i="6"/>
  <c r="F95" i="6" s="1"/>
  <c r="I62" i="6"/>
  <c r="I111" i="6"/>
  <c r="G88" i="7"/>
  <c r="H87" i="7" s="1"/>
  <c r="E96" i="6"/>
  <c r="F96" i="6" s="1"/>
  <c r="E105" i="6"/>
  <c r="F15" i="6"/>
  <c r="E111" i="6"/>
  <c r="F52" i="6"/>
  <c r="E108" i="6"/>
  <c r="F30" i="6"/>
  <c r="G62" i="6"/>
  <c r="F57" i="6"/>
  <c r="E112" i="6"/>
  <c r="H62" i="6"/>
  <c r="D12" i="5"/>
  <c r="H14" i="5"/>
  <c r="F73" i="5"/>
  <c r="F67" i="5"/>
  <c r="G78" i="5"/>
  <c r="J78" i="5" s="1"/>
  <c r="H55" i="5"/>
  <c r="H53" i="5"/>
  <c r="H31" i="5"/>
  <c r="G83" i="5"/>
  <c r="J83" i="5" s="1"/>
  <c r="G84" i="5"/>
  <c r="J84" i="5" s="1"/>
  <c r="G95" i="6" l="1"/>
  <c r="I90" i="6" s="1"/>
  <c r="E113" i="6"/>
  <c r="I109" i="6" s="1"/>
  <c r="G87" i="6"/>
  <c r="F62" i="6"/>
  <c r="G63" i="6" s="1"/>
  <c r="G82" i="5"/>
  <c r="J82" i="5" s="1"/>
  <c r="H13" i="5"/>
  <c r="H16" i="5"/>
  <c r="H9" i="5"/>
  <c r="D9" i="5"/>
  <c r="G67" i="5"/>
  <c r="H33" i="5"/>
  <c r="C33" i="5"/>
  <c r="C16" i="5"/>
  <c r="C9" i="5"/>
  <c r="F70" i="6" l="1"/>
  <c r="F66" i="6" s="1"/>
  <c r="G70" i="6"/>
  <c r="G66" i="6" s="1"/>
  <c r="D101" i="5"/>
  <c r="G86" i="5"/>
  <c r="J86" i="5" s="1"/>
  <c r="G85" i="5"/>
  <c r="J85" i="5" s="1"/>
  <c r="G81" i="5"/>
  <c r="J81" i="5" s="1"/>
  <c r="G80" i="5"/>
  <c r="J80" i="5" s="1"/>
  <c r="G79" i="5"/>
  <c r="J79" i="5" s="1"/>
  <c r="I77" i="5"/>
  <c r="H77" i="5"/>
  <c r="D77" i="5"/>
  <c r="C77" i="5"/>
  <c r="G76" i="5"/>
  <c r="G75" i="5"/>
  <c r="G74" i="5"/>
  <c r="G73" i="5"/>
  <c r="F72" i="5"/>
  <c r="D72" i="5"/>
  <c r="C72" i="5"/>
  <c r="G69" i="5"/>
  <c r="D68" i="5"/>
  <c r="G68" i="5" s="1"/>
  <c r="C66" i="5"/>
  <c r="G61" i="5"/>
  <c r="F61" i="5" s="1"/>
  <c r="G60" i="5"/>
  <c r="F60" i="5" s="1"/>
  <c r="G59" i="5"/>
  <c r="F59" i="5" s="1"/>
  <c r="G58" i="5"/>
  <c r="F58" i="5" s="1"/>
  <c r="J57" i="5"/>
  <c r="I57" i="5"/>
  <c r="H57" i="5"/>
  <c r="D57" i="5"/>
  <c r="C57" i="5"/>
  <c r="G56" i="5"/>
  <c r="F56" i="5" s="1"/>
  <c r="G55" i="5"/>
  <c r="F55" i="5" s="1"/>
  <c r="G54" i="5"/>
  <c r="F54" i="5" s="1"/>
  <c r="G53" i="5"/>
  <c r="F53" i="5" s="1"/>
  <c r="J52" i="5"/>
  <c r="I52" i="5"/>
  <c r="H52" i="5"/>
  <c r="D52" i="5"/>
  <c r="C52" i="5"/>
  <c r="G44" i="5"/>
  <c r="F44" i="5" s="1"/>
  <c r="G43" i="5"/>
  <c r="F43" i="5" s="1"/>
  <c r="G42" i="5"/>
  <c r="F42" i="5" s="1"/>
  <c r="G41" i="5"/>
  <c r="C41" i="5"/>
  <c r="J40" i="5"/>
  <c r="I40" i="5"/>
  <c r="H40" i="5"/>
  <c r="D40" i="5"/>
  <c r="H39" i="5"/>
  <c r="G39" i="5" s="1"/>
  <c r="F39" i="5" s="1"/>
  <c r="G38" i="5"/>
  <c r="F38" i="5" s="1"/>
  <c r="G37" i="5"/>
  <c r="F37" i="5" s="1"/>
  <c r="G36" i="5"/>
  <c r="F36" i="5" s="1"/>
  <c r="J35" i="5"/>
  <c r="I35" i="5"/>
  <c r="D35" i="5"/>
  <c r="C35" i="5"/>
  <c r="G34" i="5"/>
  <c r="F34" i="5" s="1"/>
  <c r="G33" i="5"/>
  <c r="F33" i="5" s="1"/>
  <c r="G32" i="5"/>
  <c r="G31" i="5"/>
  <c r="J30" i="5"/>
  <c r="I30" i="5"/>
  <c r="H30" i="5"/>
  <c r="D30" i="5"/>
  <c r="C30" i="5"/>
  <c r="G29" i="5"/>
  <c r="F29" i="5" s="1"/>
  <c r="G28" i="5"/>
  <c r="F28" i="5" s="1"/>
  <c r="G27" i="5"/>
  <c r="F27" i="5" s="1"/>
  <c r="J26" i="5"/>
  <c r="I26" i="5"/>
  <c r="H26" i="5"/>
  <c r="D26" i="5"/>
  <c r="C26" i="5"/>
  <c r="G25" i="5"/>
  <c r="F25" i="5" s="1"/>
  <c r="J24" i="5"/>
  <c r="J20" i="5" s="1"/>
  <c r="I24" i="5"/>
  <c r="G24" i="5" s="1"/>
  <c r="F24" i="5" s="1"/>
  <c r="G23" i="5"/>
  <c r="F23" i="5" s="1"/>
  <c r="G22" i="5"/>
  <c r="F22" i="5" s="1"/>
  <c r="G21" i="5"/>
  <c r="F21" i="5" s="1"/>
  <c r="H20" i="5"/>
  <c r="D20" i="5"/>
  <c r="C20" i="5"/>
  <c r="G19" i="5"/>
  <c r="F19" i="5" s="1"/>
  <c r="G18" i="5"/>
  <c r="D18" i="5"/>
  <c r="G17" i="5"/>
  <c r="F17" i="5" s="1"/>
  <c r="I16" i="5"/>
  <c r="G16" i="5" s="1"/>
  <c r="F16" i="5" s="1"/>
  <c r="J15" i="5"/>
  <c r="H15" i="5"/>
  <c r="C15" i="5"/>
  <c r="G14" i="5"/>
  <c r="F14" i="5" s="1"/>
  <c r="G13" i="5"/>
  <c r="D13" i="5"/>
  <c r="D11" i="5" s="1"/>
  <c r="G12" i="5"/>
  <c r="J11" i="5"/>
  <c r="I11" i="5"/>
  <c r="C11" i="5"/>
  <c r="H10" i="5"/>
  <c r="H8" i="5" s="1"/>
  <c r="D10" i="5"/>
  <c r="D8" i="5" s="1"/>
  <c r="G9" i="5"/>
  <c r="F9" i="5" s="1"/>
  <c r="J8" i="5"/>
  <c r="I8" i="5"/>
  <c r="C8" i="5"/>
  <c r="G10" i="5" l="1"/>
  <c r="F10" i="5" s="1"/>
  <c r="I15" i="5"/>
  <c r="G15" i="5" s="1"/>
  <c r="E105" i="5" s="1"/>
  <c r="F31" i="5"/>
  <c r="E99" i="5"/>
  <c r="F99" i="5" s="1"/>
  <c r="G40" i="5"/>
  <c r="E110" i="5" s="1"/>
  <c r="G26" i="5"/>
  <c r="F26" i="5" s="1"/>
  <c r="G8" i="5"/>
  <c r="F8" i="5" s="1"/>
  <c r="G30" i="5"/>
  <c r="F30" i="5" s="1"/>
  <c r="D66" i="5"/>
  <c r="F12" i="5"/>
  <c r="G52" i="5"/>
  <c r="E111" i="5" s="1"/>
  <c r="J62" i="5"/>
  <c r="F41" i="5"/>
  <c r="G72" i="5"/>
  <c r="G89" i="5" s="1"/>
  <c r="J77" i="5"/>
  <c r="I110" i="6"/>
  <c r="I113" i="6" s="1"/>
  <c r="G88" i="6"/>
  <c r="H87" i="6" s="1"/>
  <c r="G77" i="5"/>
  <c r="G90" i="5" s="1"/>
  <c r="F18" i="5"/>
  <c r="E95" i="5" s="1"/>
  <c r="F95" i="5" s="1"/>
  <c r="D15" i="5"/>
  <c r="D62" i="5" s="1"/>
  <c r="H35" i="5"/>
  <c r="G35" i="5" s="1"/>
  <c r="C40" i="5"/>
  <c r="H11" i="5"/>
  <c r="G11" i="5" s="1"/>
  <c r="I20" i="5"/>
  <c r="G57" i="5"/>
  <c r="H12" i="4"/>
  <c r="H39" i="4"/>
  <c r="I24" i="4"/>
  <c r="H33" i="4"/>
  <c r="I16" i="4"/>
  <c r="F40" i="5" l="1"/>
  <c r="F52" i="5"/>
  <c r="E103" i="5"/>
  <c r="E108" i="5"/>
  <c r="E107" i="5"/>
  <c r="E96" i="5"/>
  <c r="F96" i="5" s="1"/>
  <c r="G95" i="5" s="1"/>
  <c r="C62" i="5"/>
  <c r="I111" i="5"/>
  <c r="I112" i="5"/>
  <c r="F57" i="5"/>
  <c r="E112" i="5"/>
  <c r="F15" i="5"/>
  <c r="I62" i="5"/>
  <c r="G20" i="5"/>
  <c r="E109" i="5"/>
  <c r="F35" i="5"/>
  <c r="E104" i="5"/>
  <c r="F11" i="5"/>
  <c r="H62" i="5"/>
  <c r="H10" i="4"/>
  <c r="D10" i="4"/>
  <c r="D18" i="4"/>
  <c r="F20" i="5" l="1"/>
  <c r="E106" i="5"/>
  <c r="E113" i="5" s="1"/>
  <c r="I109" i="5" s="1"/>
  <c r="I90" i="5"/>
  <c r="F70" i="5"/>
  <c r="G70" i="5" s="1"/>
  <c r="G62" i="5"/>
  <c r="D13" i="4"/>
  <c r="D68" i="4"/>
  <c r="G66" i="5" l="1"/>
  <c r="F66" i="5"/>
  <c r="G87" i="5"/>
  <c r="F62" i="5"/>
  <c r="G63" i="5" s="1"/>
  <c r="J24" i="4"/>
  <c r="G13" i="4"/>
  <c r="I110" i="5" l="1"/>
  <c r="I113" i="5" s="1"/>
  <c r="G88" i="5"/>
  <c r="H87" i="5" s="1"/>
  <c r="H31" i="4"/>
  <c r="C41" i="4"/>
  <c r="D70" i="4" l="1"/>
  <c r="G68" i="4" l="1"/>
  <c r="G75" i="4"/>
  <c r="G33" i="4"/>
  <c r="F33" i="4" s="1"/>
  <c r="G32" i="4"/>
  <c r="G23" i="4"/>
  <c r="F23" i="4" s="1"/>
  <c r="D99" i="4"/>
  <c r="H20" i="4"/>
  <c r="D9" i="4"/>
  <c r="D8" i="4" s="1"/>
  <c r="H77" i="4"/>
  <c r="F77" i="4"/>
  <c r="G78" i="4"/>
  <c r="J78" i="4" s="1"/>
  <c r="G79" i="4"/>
  <c r="J79" i="4" s="1"/>
  <c r="G80" i="4"/>
  <c r="J80" i="4" s="1"/>
  <c r="G83" i="4"/>
  <c r="J83" i="4" s="1"/>
  <c r="G84" i="4"/>
  <c r="J84" i="4" s="1"/>
  <c r="G76" i="4"/>
  <c r="C72" i="4"/>
  <c r="D72" i="4"/>
  <c r="G22" i="4"/>
  <c r="F22" i="4" s="1"/>
  <c r="G21" i="4"/>
  <c r="F21" i="4" s="1"/>
  <c r="G54" i="4"/>
  <c r="F54" i="4" s="1"/>
  <c r="C66" i="4"/>
  <c r="D11" i="4"/>
  <c r="C11" i="4"/>
  <c r="D66" i="4"/>
  <c r="C9" i="4"/>
  <c r="C8" i="4" s="1"/>
  <c r="D30" i="4"/>
  <c r="I77" i="4"/>
  <c r="D77" i="4"/>
  <c r="C77" i="4"/>
  <c r="I52" i="4"/>
  <c r="H52" i="4"/>
  <c r="G53" i="4"/>
  <c r="F53" i="4" s="1"/>
  <c r="D57" i="4"/>
  <c r="H57" i="4"/>
  <c r="C52" i="4"/>
  <c r="D52" i="4"/>
  <c r="G55" i="4"/>
  <c r="F55" i="4" s="1"/>
  <c r="G61" i="4"/>
  <c r="F61" i="4" s="1"/>
  <c r="G60" i="4"/>
  <c r="F60" i="4" s="1"/>
  <c r="G59" i="4"/>
  <c r="F59" i="4" s="1"/>
  <c r="G58" i="4"/>
  <c r="F58" i="4" s="1"/>
  <c r="J57" i="4"/>
  <c r="I57" i="4"/>
  <c r="C57" i="4"/>
  <c r="J52" i="4"/>
  <c r="G56" i="4"/>
  <c r="F56" i="4" s="1"/>
  <c r="C40" i="4"/>
  <c r="D40" i="4"/>
  <c r="C35" i="4"/>
  <c r="D35" i="4"/>
  <c r="C30" i="4"/>
  <c r="C26" i="4"/>
  <c r="D26" i="4"/>
  <c r="C20" i="4"/>
  <c r="D20" i="4"/>
  <c r="C15" i="4"/>
  <c r="D15" i="4"/>
  <c r="I40" i="4"/>
  <c r="J40" i="4"/>
  <c r="H40" i="4"/>
  <c r="I35" i="4"/>
  <c r="J35" i="4"/>
  <c r="H35" i="4"/>
  <c r="I30" i="4"/>
  <c r="J30" i="4"/>
  <c r="I26" i="4"/>
  <c r="J26" i="4"/>
  <c r="H26" i="4"/>
  <c r="I20" i="4"/>
  <c r="J20" i="4"/>
  <c r="I15" i="4"/>
  <c r="J15" i="4"/>
  <c r="H15" i="4"/>
  <c r="I11" i="4"/>
  <c r="J11" i="4"/>
  <c r="H11" i="4"/>
  <c r="I8" i="4"/>
  <c r="J8" i="4"/>
  <c r="H8" i="4"/>
  <c r="G43" i="4"/>
  <c r="F43" i="4" s="1"/>
  <c r="G44" i="4"/>
  <c r="F44" i="4" s="1"/>
  <c r="G42" i="4"/>
  <c r="F42" i="4" s="1"/>
  <c r="G41" i="4"/>
  <c r="F41" i="4" s="1"/>
  <c r="G39" i="4"/>
  <c r="F39" i="4" s="1"/>
  <c r="G38" i="4"/>
  <c r="F38" i="4" s="1"/>
  <c r="G37" i="4"/>
  <c r="F37" i="4" s="1"/>
  <c r="G36" i="4"/>
  <c r="F36" i="4" s="1"/>
  <c r="G34" i="4"/>
  <c r="F34" i="4" s="1"/>
  <c r="G31" i="4"/>
  <c r="G29" i="4"/>
  <c r="F29" i="4" s="1"/>
  <c r="G28" i="4"/>
  <c r="F28" i="4" s="1"/>
  <c r="G27" i="4"/>
  <c r="F27" i="4" s="1"/>
  <c r="G25" i="4"/>
  <c r="F25" i="4" s="1"/>
  <c r="G18" i="4"/>
  <c r="F18" i="4" s="1"/>
  <c r="G19" i="4"/>
  <c r="F19" i="4" s="1"/>
  <c r="G17" i="4"/>
  <c r="F17" i="4" s="1"/>
  <c r="G16" i="4"/>
  <c r="F16" i="4" s="1"/>
  <c r="G14" i="4"/>
  <c r="F14" i="4" s="1"/>
  <c r="G12" i="4"/>
  <c r="G10" i="4"/>
  <c r="F10" i="4" s="1"/>
  <c r="G9" i="4"/>
  <c r="F12" i="4" l="1"/>
  <c r="E93" i="4"/>
  <c r="H30" i="4"/>
  <c r="H62" i="4" s="1"/>
  <c r="G24" i="4"/>
  <c r="F24" i="4" s="1"/>
  <c r="G77" i="4"/>
  <c r="J77" i="4"/>
  <c r="E97" i="4"/>
  <c r="F97" i="4" s="1"/>
  <c r="F31" i="4"/>
  <c r="D62" i="4"/>
  <c r="J62" i="4"/>
  <c r="C62" i="4"/>
  <c r="I62" i="4"/>
  <c r="F9" i="4"/>
  <c r="G57" i="4"/>
  <c r="G11" i="4"/>
  <c r="G8" i="4"/>
  <c r="G52" i="4"/>
  <c r="G40" i="4"/>
  <c r="G26" i="4"/>
  <c r="G15" i="4"/>
  <c r="G35" i="4"/>
  <c r="G20" i="4"/>
  <c r="G30" i="4" l="1"/>
  <c r="E106" i="4" s="1"/>
  <c r="E94" i="4"/>
  <c r="I110" i="4"/>
  <c r="G88" i="4"/>
  <c r="F15" i="4"/>
  <c r="E103" i="4"/>
  <c r="F40" i="4"/>
  <c r="E108" i="4"/>
  <c r="F52" i="4"/>
  <c r="E109" i="4"/>
  <c r="F8" i="4"/>
  <c r="E101" i="4"/>
  <c r="F26" i="4"/>
  <c r="E105" i="4"/>
  <c r="F20" i="4"/>
  <c r="E104" i="4"/>
  <c r="F11" i="4"/>
  <c r="E102" i="4"/>
  <c r="F35" i="4"/>
  <c r="E107" i="4"/>
  <c r="E110" i="4"/>
  <c r="F30" i="4"/>
  <c r="F57" i="4"/>
  <c r="G62" i="4"/>
  <c r="G85" i="4" s="1"/>
  <c r="F94" i="4" l="1"/>
  <c r="F93" i="4"/>
  <c r="E111" i="4"/>
  <c r="I107" i="4" s="1"/>
  <c r="G93" i="4" l="1"/>
  <c r="F70" i="4" s="1"/>
  <c r="G70" i="4" s="1"/>
  <c r="I88" i="4" l="1"/>
  <c r="F62" i="4"/>
  <c r="G63" i="4" s="1"/>
  <c r="G67" i="4"/>
  <c r="G69" i="4"/>
  <c r="F72" i="4"/>
  <c r="G72" i="4" s="1"/>
  <c r="G73" i="4"/>
  <c r="G74" i="4"/>
  <c r="F66" i="4" l="1"/>
  <c r="I109" i="4"/>
  <c r="G87" i="4"/>
  <c r="G66" i="4"/>
  <c r="I108" i="4" l="1"/>
  <c r="I111" i="4" s="1"/>
  <c r="G86" i="4"/>
  <c r="H8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000-000001000000}">
      <text>
        <r>
          <rPr>
            <sz val="10"/>
            <color rgb="FF000000"/>
            <rFont val="Tahoma"/>
            <family val="2"/>
            <charset val="238"/>
          </rPr>
          <t xml:space="preserve">Mezőőri hozzájárulás a gazdáktól+intézmény saját bevétele + TKT!
</t>
        </r>
      </text>
    </comment>
    <comment ref="D10" authorId="0" shapeId="0" xr:uid="{00000000-0006-0000-0000-000002000000}">
      <text>
        <r>
          <rPr>
            <sz val="10"/>
            <color rgb="FF000000"/>
            <rFont val="Tahoma"/>
            <family val="2"/>
            <charset val="238"/>
          </rPr>
          <t xml:space="preserve">Összes egyéb bevétel:  működési bevételek, bérleti díjak, továbbszáml. szolg., stb.
</t>
        </r>
      </text>
    </comment>
    <comment ref="B12" authorId="0" shapeId="0" xr:uid="{00000000-0006-0000-00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000-000004000000}">
      <text>
        <r>
          <rPr>
            <sz val="10"/>
            <color rgb="FF000000"/>
            <rFont val="Tahoma"/>
            <family val="2"/>
            <charset val="238"/>
          </rPr>
          <t xml:space="preserve">Összes egyéb támogatás:
</t>
        </r>
      </text>
    </comment>
    <comment ref="D12" authorId="0" shapeId="0" xr:uid="{00000000-0006-0000-0000-000005000000}">
      <text>
        <r>
          <rPr>
            <sz val="10"/>
            <color rgb="FF000000"/>
            <rFont val="Tahoma"/>
            <family val="2"/>
            <charset val="238"/>
          </rPr>
          <t xml:space="preserve">működési célú átvett pe.
</t>
        </r>
      </text>
    </comment>
    <comment ref="H13" authorId="0" shapeId="0" xr:uid="{00000000-0006-0000-0000-000006000000}">
      <text>
        <r>
          <rPr>
            <sz val="10"/>
            <color rgb="FF000000"/>
            <rFont val="Tahoma"/>
            <family val="2"/>
            <charset val="238"/>
          </rPr>
          <t xml:space="preserve">Fizetendő Áfa
</t>
        </r>
      </text>
    </comment>
    <comment ref="B24" authorId="0" shapeId="0" xr:uid="{00000000-0006-0000-00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0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000-000009000000}">
      <text>
        <r>
          <rPr>
            <sz val="10"/>
            <color rgb="FF000000"/>
            <rFont val="Tahoma"/>
            <family val="2"/>
            <charset val="238"/>
          </rPr>
          <t xml:space="preserve">Járási hivatal működtetése
</t>
        </r>
      </text>
    </comment>
    <comment ref="J58" authorId="0" shapeId="0" xr:uid="{00000000-0006-0000-00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000-00000B000000}">
      <text>
        <r>
          <rPr>
            <sz val="10"/>
            <color rgb="FF000000"/>
            <rFont val="Tahoma"/>
            <family val="2"/>
            <charset val="238"/>
          </rPr>
          <t xml:space="preserve">A korábbi évek felhalmozása a maradvány felosztásakor jelenik meg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9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
Választásra kapott támogatás</t>
        </r>
      </text>
    </comment>
    <comment ref="D9" authorId="1" shapeId="0" xr:uid="{00000000-0006-0000-0900-000002000000}">
      <text>
        <r>
          <rPr>
            <sz val="10"/>
            <color rgb="FF000000"/>
            <rFont val="Tahoma"/>
            <family val="2"/>
            <charset val="238"/>
          </rPr>
          <t>2024.III.:1266 E Ft anyakönyvvezetői díjak bevétele
605 Eft közvetített szolgáltatás bevétele</t>
        </r>
      </text>
    </comment>
    <comment ref="H9" authorId="2" shapeId="0" xr:uid="{00000000-0006-0000-0900-000003000000}">
      <text>
        <r>
          <rPr>
            <sz val="9"/>
            <color indexed="81"/>
            <rFont val="Segoe UI"/>
            <family val="2"/>
            <charset val="238"/>
          </rPr>
          <t>2024.III: 1122+144E FT anyakönyvvezetői díj, 2750+358 E Ft személyi asszisztens illetménye,605 Eft közvetített szolgáltatás kiadása, 1122+144 E Ft anyakönyvvezetői díjak</t>
        </r>
      </text>
    </comment>
    <comment ref="D10" authorId="1" shapeId="0" xr:uid="{00000000-0006-0000-0900-000004000000}">
      <text>
        <r>
          <rPr>
            <sz val="10"/>
            <color rgb="FF000000"/>
            <rFont val="Tahoma"/>
            <family val="2"/>
            <charset val="238"/>
          </rPr>
          <t xml:space="preserve">Összes egyéb bevétel:  működési bevételek, bérleti díjak, továbbszáml. szolg., stb.
</t>
        </r>
      </text>
    </comment>
    <comment ref="F10" authorId="0" shapeId="0" xr:uid="{00000000-0006-0000-09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B12" authorId="1" shapeId="0" xr:uid="{00000000-0006-0000-09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900-000007000000}">
      <text>
        <r>
          <rPr>
            <sz val="10"/>
            <color rgb="FF000000"/>
            <rFont val="Tahoma"/>
            <family val="2"/>
            <charset val="238"/>
          </rPr>
          <t xml:space="preserve">Összes egyéb támogatás:
</t>
        </r>
      </text>
    </comment>
    <comment ref="D12" authorId="1" shapeId="0" xr:uid="{00000000-0006-0000-0900-000008000000}">
      <text>
        <r>
          <rPr>
            <sz val="10"/>
            <color rgb="FF000000"/>
            <rFont val="Tahoma"/>
            <family val="2"/>
            <charset val="238"/>
          </rPr>
          <t>működési célú átvett pe.
MAZSIHISZ</t>
        </r>
      </text>
    </comment>
    <comment ref="H12" authorId="0" shapeId="0" xr:uid="{00000000-0006-0000-0900-000009000000}">
      <text>
        <r>
          <rPr>
            <b/>
            <sz val="9"/>
            <color indexed="81"/>
            <rFont val="Tahoma"/>
            <family val="2"/>
            <charset val="238"/>
          </rPr>
          <t>KonyvtarLaptop4:</t>
        </r>
        <r>
          <rPr>
            <sz val="9"/>
            <color indexed="81"/>
            <rFont val="Tahoma"/>
            <family val="2"/>
            <charset val="238"/>
          </rPr>
          <t xml:space="preserve">
600 E Ft Beethowen Alapítvány,60 E Ft molinó beszerzés, 195 E Ft kamat , 100 E Ft vadgesztenye injektálás, 25 E Ft ravatalozás, 70 E Ft locsolótömlő,322 E Ft ügyvédi díj, 136 E Ft Epipen injekció, 500 E Ft Mezőkölpényi Református E.tandíj ktg</t>
        </r>
      </text>
    </comment>
    <comment ref="H13" authorId="1" shapeId="0" xr:uid="{00000000-0006-0000-0900-00000A000000}">
      <text>
        <r>
          <rPr>
            <sz val="10"/>
            <color rgb="FF000000"/>
            <rFont val="Tahoma"/>
            <family val="2"/>
            <charset val="238"/>
          </rPr>
          <t xml:space="preserve">Fizetendő Áfa
</t>
        </r>
      </text>
    </comment>
    <comment ref="D16" authorId="0" shapeId="0" xr:uid="{00000000-0006-0000-09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D18" authorId="2" shapeId="0" xr:uid="{00000000-0006-0000-0900-00000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900-00000D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900-00000E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900-00000F000000}">
      <text>
        <r>
          <rPr>
            <sz val="10"/>
            <color rgb="FF000000"/>
            <rFont val="Tahoma"/>
            <family val="2"/>
            <charset val="238"/>
          </rPr>
          <t>Vállalkozási célú tevékenység eredménye (5819E Ft) a Városüzemeltetési iroda költségeire fordítva</t>
        </r>
      </text>
    </comment>
    <comment ref="B25" authorId="1" shapeId="0" xr:uid="{00000000-0006-0000-0900-000010000000}">
      <text>
        <r>
          <rPr>
            <sz val="10"/>
            <color rgb="FF000000"/>
            <rFont val="Tahoma"/>
            <family val="2"/>
            <charset val="238"/>
          </rPr>
          <t xml:space="preserve">Járási hivatal működtetése
</t>
        </r>
      </text>
    </comment>
    <comment ref="C33" authorId="0" shapeId="0" xr:uid="{00000000-0006-0000-0900-000011000000}">
      <text>
        <r>
          <rPr>
            <b/>
            <sz val="9"/>
            <color indexed="81"/>
            <rFont val="Tahoma"/>
            <family val="2"/>
            <charset val="238"/>
          </rPr>
          <t>KonyvtarLaptop4:</t>
        </r>
        <r>
          <rPr>
            <sz val="9"/>
            <color indexed="81"/>
            <rFont val="Tahoma"/>
            <family val="2"/>
            <charset val="238"/>
          </rPr>
          <t xml:space="preserve">
12043 E Ft szoci.ágazati pótlék bev.
2024.II: 6513 Eft szoc.ágazati pótlék
2024.III 9184 E Ft szoc.ágazati pótlék, 94 E Ft májusi normatíva mód.</t>
        </r>
      </text>
    </comment>
    <comment ref="H33" authorId="0" shapeId="0" xr:uid="{00000000-0006-0000-0900-000012000000}">
      <text>
        <r>
          <rPr>
            <b/>
            <sz val="9"/>
            <color indexed="81"/>
            <rFont val="Tahoma"/>
            <family val="2"/>
            <charset val="238"/>
          </rPr>
          <t>KonyvtarLaptop4:</t>
        </r>
        <r>
          <rPr>
            <sz val="9"/>
            <color indexed="81"/>
            <rFont val="Tahoma"/>
            <family val="2"/>
            <charset val="238"/>
          </rPr>
          <t xml:space="preserve">
2024.: 9184Eft szoc.ágazati ,94 Eft májusi normatíva mód</t>
        </r>
      </text>
    </comment>
    <comment ref="D36" authorId="0" shapeId="0" xr:uid="{00000000-0006-0000-0900-000013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900-000014000000}">
      <text>
        <r>
          <rPr>
            <b/>
            <sz val="9"/>
            <color indexed="81"/>
            <rFont val="Tahoma"/>
            <family val="2"/>
            <charset val="238"/>
          </rPr>
          <t>KonyvtarLaptop4:</t>
        </r>
        <r>
          <rPr>
            <sz val="9"/>
            <color indexed="81"/>
            <rFont val="Tahoma"/>
            <family val="2"/>
            <charset val="238"/>
          </rPr>
          <t xml:space="preserve">
1016 E Ft béremelés kiadás</t>
        </r>
      </text>
    </comment>
    <comment ref="J58" authorId="1" shapeId="0" xr:uid="{00000000-0006-0000-0900-000015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900-000016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900-000017000000}">
      <text>
        <r>
          <rPr>
            <b/>
            <sz val="9"/>
            <color indexed="81"/>
            <rFont val="Tahoma"/>
            <family val="2"/>
            <charset val="238"/>
          </rPr>
          <t>KonyvtarLaptop4:</t>
        </r>
        <r>
          <rPr>
            <sz val="9"/>
            <color indexed="81"/>
            <rFont val="Tahoma"/>
            <family val="2"/>
            <charset val="238"/>
          </rPr>
          <t xml:space="preserve">
2024-.III:
600 Eft Beethoven Alapítvány támogatása
63 E Ftbölcsőde molinó beszerzés
100 E Ft vadgesztenyefa injektálása
195 Eft normatíva kamat visszafizetése
3108 E Ft személyi titkár bér+járulék
1905 Eft normatíva bevétel
70 Eft locsolótömlő vásárlás
25 E ft ravatalozási ktg
322 EFt ügyvédi költség
136 EFt Epipen injekciók beszerzése
500 EFt Mezőkölpény támogatás</t>
        </r>
      </text>
    </comment>
    <comment ref="D68" authorId="1" shapeId="0" xr:uid="{00000000-0006-0000-0900-000018000000}">
      <text>
        <r>
          <rPr>
            <sz val="10"/>
            <color rgb="FF000000"/>
            <rFont val="Tahoma"/>
            <family val="2"/>
            <charset val="238"/>
          </rPr>
          <t xml:space="preserve">A korábbi évek felhalmozása a maradvány felosztásakor jelenik meg
</t>
        </r>
      </text>
    </comment>
    <comment ref="C69" authorId="0" shapeId="0" xr:uid="{00000000-0006-0000-0900-000019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900-00001A000000}">
      <text>
        <r>
          <rPr>
            <b/>
            <sz val="9"/>
            <color indexed="81"/>
            <rFont val="Segoe UI"/>
            <family val="2"/>
            <charset val="238"/>
          </rPr>
          <t>Felhasználó:</t>
        </r>
        <r>
          <rPr>
            <sz val="9"/>
            <color indexed="81"/>
            <rFont val="Segoe UI"/>
            <family val="2"/>
            <charset val="238"/>
          </rPr>
          <t xml:space="preserve">
III.név: 2033  Eft normatíva plusz bevétel
</t>
        </r>
      </text>
    </comment>
    <comment ref="D70" authorId="0" shapeId="0" xr:uid="{00000000-0006-0000-0900-00001B000000}">
      <text>
        <r>
          <rPr>
            <b/>
            <sz val="9"/>
            <color indexed="81"/>
            <rFont val="Tahoma"/>
            <family val="2"/>
            <charset val="238"/>
          </rPr>
          <t>KonyvtarLaptop4:</t>
        </r>
        <r>
          <rPr>
            <sz val="9"/>
            <color indexed="81"/>
            <rFont val="Tahoma"/>
            <family val="2"/>
            <charset val="238"/>
          </rPr>
          <t xml:space="preserve">
Mirrotron bev.</t>
        </r>
      </text>
    </comment>
    <comment ref="F73" authorId="2" shapeId="0" xr:uid="{00000000-0006-0000-0900-00001C000000}">
      <text>
        <r>
          <rPr>
            <b/>
            <sz val="9"/>
            <color indexed="81"/>
            <rFont val="Segoe UI"/>
            <family val="2"/>
            <charset val="238"/>
          </rPr>
          <t>Felhasználó:</t>
        </r>
        <r>
          <rPr>
            <sz val="9"/>
            <color indexed="81"/>
            <rFont val="Segoe UI"/>
            <family val="2"/>
            <charset val="238"/>
          </rPr>
          <t xml:space="preserve">
2024.III:
450 EFtLudwig Hotel engedélyeztetése
6291 E Ft :KEHOP szolgalmi jog
80 Eft:  játszótér hálózatcsatlakozás
60 Eft hulladékszállítás
203 EFt KEHOP szolgalmni jog
2286 Eft villamosenergia közbeszerzési díj
100 Eft közbesz hirdetmény díj
32 EFt földhivatali ig.díj
216 EFt földmérés
92 EFt kártalanítás
220 EFt értékbecslés
707 EFt szolgalmi jog
300 EFt nyárfa kivágás és elszállítás
198 EFt Rákóczi árambekapcsolás szakért.díja
44 EFtfolyékony hulladékszállítás
</t>
        </r>
      </text>
    </comment>
    <comment ref="F75" authorId="0" shapeId="0" xr:uid="{00000000-0006-0000-0900-00001D000000}">
      <text>
        <r>
          <rPr>
            <b/>
            <sz val="9"/>
            <color indexed="81"/>
            <rFont val="Tahoma"/>
            <family val="2"/>
            <charset val="238"/>
          </rPr>
          <t>KonyvtarLaptop4:</t>
        </r>
        <r>
          <rPr>
            <sz val="9"/>
            <color indexed="81"/>
            <rFont val="Tahoma"/>
            <family val="2"/>
            <charset val="238"/>
          </rPr>
          <t xml:space="preserve">
311 E Ft szennyvíz akna</t>
        </r>
      </text>
    </comment>
    <comment ref="F80" authorId="0" shapeId="0" xr:uid="{00000000-0006-0000-0900-00001E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900-00001F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900-000020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Microsoft Office User</author>
    <author>KonyvtarLaptop4</author>
    <author>Felhasználó</author>
  </authors>
  <commentList>
    <comment ref="D9" authorId="0" shapeId="0" xr:uid="{00000000-0006-0000-0A00-000001000000}">
      <text>
        <r>
          <rPr>
            <sz val="10"/>
            <color rgb="FF000000"/>
            <rFont val="Tahoma"/>
            <family val="2"/>
            <charset val="238"/>
          </rPr>
          <t xml:space="preserve">Mezőőri hozzájárulás a gazdáktól+intézmény saját bevétele + TKT!
</t>
        </r>
      </text>
    </comment>
    <comment ref="D10" authorId="0" shapeId="0" xr:uid="{00000000-0006-0000-0A00-000002000000}">
      <text>
        <r>
          <rPr>
            <sz val="10"/>
            <color rgb="FF000000"/>
            <rFont val="Tahoma"/>
            <family val="2"/>
            <charset val="238"/>
          </rPr>
          <t xml:space="preserve">Összes egyéb bevétel:  működési bevételek, bérleti díjak, továbbszáml. szolg., stb.
</t>
        </r>
      </text>
    </comment>
    <comment ref="H10" authorId="1" shapeId="0" xr:uid="{00000000-0006-0000-0A00-000003000000}">
      <text>
        <r>
          <rPr>
            <b/>
            <sz val="9"/>
            <color indexed="81"/>
            <rFont val="Tahoma"/>
            <family val="2"/>
            <charset val="238"/>
          </rPr>
          <t>KonyvtarLaptop4:</t>
        </r>
        <r>
          <rPr>
            <sz val="9"/>
            <color indexed="81"/>
            <rFont val="Tahoma"/>
            <family val="2"/>
            <charset val="238"/>
          </rPr>
          <t xml:space="preserve">
tiszteletd+járulék</t>
        </r>
      </text>
    </comment>
    <comment ref="B12" authorId="0" shapeId="0" xr:uid="{00000000-0006-0000-0A00-000004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A00-000005000000}">
      <text>
        <r>
          <rPr>
            <sz val="10"/>
            <color rgb="FF000000"/>
            <rFont val="Tahoma"/>
            <family val="2"/>
            <charset val="238"/>
          </rPr>
          <t xml:space="preserve">Összes egyéb támogatás:
</t>
        </r>
      </text>
    </comment>
    <comment ref="D12" authorId="0" shapeId="0" xr:uid="{00000000-0006-0000-0A00-000006000000}">
      <text>
        <r>
          <rPr>
            <sz val="10"/>
            <color rgb="FF000000"/>
            <rFont val="Tahoma"/>
            <family val="2"/>
            <charset val="238"/>
          </rPr>
          <t xml:space="preserve">működési célú átvett pe.
</t>
        </r>
      </text>
    </comment>
    <comment ref="H13" authorId="0" shapeId="0" xr:uid="{00000000-0006-0000-0A00-000007000000}">
      <text>
        <r>
          <rPr>
            <sz val="10"/>
            <color rgb="FF000000"/>
            <rFont val="Tahoma"/>
            <family val="2"/>
            <charset val="238"/>
          </rPr>
          <t xml:space="preserve">Fizetendő Áfa
</t>
        </r>
      </text>
    </comment>
    <comment ref="D18" authorId="2" shapeId="0" xr:uid="{00000000-0006-0000-0A00-000008000000}">
      <text>
        <r>
          <rPr>
            <b/>
            <sz val="9"/>
            <color indexed="81"/>
            <rFont val="Segoe UI"/>
            <family val="2"/>
            <charset val="238"/>
          </rPr>
          <t>Felhasználó:</t>
        </r>
        <r>
          <rPr>
            <sz val="9"/>
            <color indexed="81"/>
            <rFont val="Segoe UI"/>
            <family val="2"/>
            <charset val="238"/>
          </rPr>
          <t xml:space="preserve">
PM élel.tart</t>
        </r>
      </text>
    </comment>
    <comment ref="B24" authorId="0" shapeId="0" xr:uid="{00000000-0006-0000-0A00-000009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A00-00000A000000}">
      <text>
        <r>
          <rPr>
            <sz val="10"/>
            <color rgb="FF000000"/>
            <rFont val="Tahoma"/>
            <family val="2"/>
            <charset val="238"/>
          </rPr>
          <t>Vállalkozási célú tevékenység eredménye (5819E Ft) a Városüzemeltetési iroda költségeire fordítva</t>
        </r>
      </text>
    </comment>
    <comment ref="B25" authorId="0" shapeId="0" xr:uid="{00000000-0006-0000-0A00-00000B000000}">
      <text>
        <r>
          <rPr>
            <sz val="10"/>
            <color rgb="FF000000"/>
            <rFont val="Tahoma"/>
            <family val="2"/>
            <charset val="238"/>
          </rPr>
          <t>Járási hivatal működtetése
Szolgáltató ház</t>
        </r>
      </text>
    </comment>
    <comment ref="H36" authorId="1" shapeId="0" xr:uid="{00000000-0006-0000-0A00-00000C000000}">
      <text>
        <r>
          <rPr>
            <b/>
            <sz val="9"/>
            <color indexed="81"/>
            <rFont val="Tahoma"/>
            <family val="2"/>
            <charset val="238"/>
          </rPr>
          <t>KonyvtarLaptop4:</t>
        </r>
        <r>
          <rPr>
            <sz val="9"/>
            <color indexed="81"/>
            <rFont val="Tahoma"/>
            <family val="2"/>
            <charset val="238"/>
          </rPr>
          <t xml:space="preserve">
védőnő bér+járulék,kiadásai
</t>
        </r>
      </text>
    </comment>
    <comment ref="D37" authorId="1" shapeId="0" xr:uid="{00000000-0006-0000-0A00-00000D000000}">
      <text>
        <r>
          <rPr>
            <b/>
            <sz val="9"/>
            <color indexed="81"/>
            <rFont val="Tahoma"/>
            <family val="2"/>
            <charset val="238"/>
          </rPr>
          <t>KonyvtarLaptop4:</t>
        </r>
        <r>
          <rPr>
            <sz val="9"/>
            <color indexed="81"/>
            <rFont val="Tahoma"/>
            <family val="2"/>
            <charset val="238"/>
          </rPr>
          <t xml:space="preserve">
kórház bevétel védőnői továbbsz.</t>
        </r>
      </text>
    </comment>
    <comment ref="H39" authorId="1" shapeId="0" xr:uid="{00000000-0006-0000-0A00-00000E000000}">
      <text>
        <r>
          <rPr>
            <b/>
            <sz val="9"/>
            <color indexed="81"/>
            <rFont val="Tahoma"/>
            <family val="2"/>
            <charset val="238"/>
          </rPr>
          <t>KonyvtarLaptop4:</t>
        </r>
        <r>
          <rPr>
            <sz val="9"/>
            <color indexed="81"/>
            <rFont val="Tahoma"/>
            <family val="2"/>
            <charset val="238"/>
          </rPr>
          <t xml:space="preserve">
fogorvosi ügyelet</t>
        </r>
      </text>
    </comment>
    <comment ref="J58" authorId="0" shapeId="0" xr:uid="{00000000-0006-0000-0A00-00000F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A00-000010000000}">
      <text>
        <r>
          <rPr>
            <sz val="10"/>
            <color rgb="FF000000"/>
            <rFont val="Tahoma"/>
            <family val="2"/>
            <charset val="238"/>
          </rPr>
          <t xml:space="preserve">A korábbi évek felhalmozása a maradvány felosztásakor jelenik meg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B00-000001000000}">
      <text>
        <r>
          <rPr>
            <b/>
            <sz val="9"/>
            <color indexed="81"/>
            <rFont val="Segoe UI"/>
            <family val="2"/>
            <charset val="238"/>
          </rPr>
          <t>Felhasználó:</t>
        </r>
        <r>
          <rPr>
            <sz val="9"/>
            <color indexed="81"/>
            <rFont val="Segoe UI"/>
            <family val="2"/>
            <charset val="238"/>
          </rPr>
          <t xml:space="preserve">
1080 eFt NAK mezőőri támogatás,
147.463 eFt hivatali működés állami normatíva támogatása (1 főre jutó fajlagos összeg 6.994 eFt)</t>
        </r>
      </text>
    </comment>
    <comment ref="D9" authorId="1" shapeId="0" xr:uid="{00000000-0006-0000-0B00-000002000000}">
      <text>
        <r>
          <rPr>
            <sz val="10"/>
            <color rgb="FF000000"/>
            <rFont val="Tahoma"/>
            <family val="2"/>
            <charset val="238"/>
          </rPr>
          <t xml:space="preserve">
I. módosítás: 
maradvány igénybevétele 20380 EFT -16321 Eft
anyakönyvvezetői díjak:371 EFt</t>
        </r>
      </text>
    </comment>
    <comment ref="H9" authorId="0" shapeId="0" xr:uid="{00000000-0006-0000-0B00-000003000000}">
      <text>
        <r>
          <rPr>
            <b/>
            <sz val="9"/>
            <color indexed="81"/>
            <rFont val="Segoe UI"/>
            <family val="2"/>
            <charset val="238"/>
          </rPr>
          <t>Felhasználó:
I.mód:</t>
        </r>
        <r>
          <rPr>
            <sz val="9"/>
            <color indexed="81"/>
            <rFont val="Segoe UI"/>
            <family val="2"/>
            <charset val="238"/>
          </rPr>
          <t xml:space="preserve">
4059:kötelezettséggel terhelt maradvány 
328+42:anyakönyvvezetői díj+járulék</t>
        </r>
      </text>
    </comment>
    <comment ref="D10" authorId="1" shapeId="0" xr:uid="{00000000-0006-0000-0B00-000004000000}">
      <text>
        <r>
          <rPr>
            <sz val="10"/>
            <color rgb="FF000000"/>
            <rFont val="Tahoma"/>
            <family val="2"/>
            <charset val="238"/>
          </rPr>
          <t>Összes egyéb bevétel:  
64280:2024.évi maradvány</t>
        </r>
      </text>
    </comment>
    <comment ref="H10" authorId="2" shapeId="0" xr:uid="{00000000-0006-0000-0B00-000005000000}">
      <text>
        <r>
          <rPr>
            <b/>
            <sz val="9"/>
            <color indexed="81"/>
            <rFont val="Tahoma"/>
            <family val="2"/>
            <charset val="238"/>
          </rPr>
          <t>KonyvtarLaptop4:</t>
        </r>
        <r>
          <rPr>
            <sz val="9"/>
            <color indexed="81"/>
            <rFont val="Tahoma"/>
            <family val="2"/>
            <charset val="238"/>
          </rPr>
          <t xml:space="preserve">
tiszteletdíj+járulék
311:M.Z. megbízási díj emelése
1921:polg.bérek emelése</t>
        </r>
      </text>
    </comment>
    <comment ref="B12" authorId="1" shapeId="0" xr:uid="{00000000-0006-0000-0B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B00-000007000000}">
      <text>
        <r>
          <rPr>
            <sz val="10"/>
            <color rgb="FF000000"/>
            <rFont val="Tahoma"/>
            <family val="2"/>
            <charset val="238"/>
          </rPr>
          <t xml:space="preserve">Összes egyéb támogatás:
</t>
        </r>
      </text>
    </comment>
    <comment ref="D12" authorId="1" shapeId="0" xr:uid="{00000000-0006-0000-0B00-000008000000}">
      <text>
        <r>
          <rPr>
            <sz val="10"/>
            <color rgb="FF000000"/>
            <rFont val="Tahoma"/>
            <family val="2"/>
            <charset val="238"/>
          </rPr>
          <t xml:space="preserve">működési célú átvett pe.
</t>
        </r>
      </text>
    </comment>
    <comment ref="H12" authorId="0" shapeId="0" xr:uid="{00000000-0006-0000-0B00-000009000000}">
      <text>
        <r>
          <rPr>
            <b/>
            <sz val="9"/>
            <color indexed="81"/>
            <rFont val="Segoe UI"/>
            <family val="2"/>
            <charset val="238"/>
          </rPr>
          <t>Felhasználó:</t>
        </r>
        <r>
          <rPr>
            <sz val="9"/>
            <color indexed="81"/>
            <rFont val="Segoe UI"/>
            <family val="2"/>
            <charset val="238"/>
          </rPr>
          <t xml:space="preserve">
166:utcafórum eszközök
480:baba-mama csomag</t>
        </r>
      </text>
    </comment>
    <comment ref="D13" authorId="2" shapeId="0" xr:uid="{00000000-0006-0000-0B00-00000A000000}">
      <text>
        <r>
          <rPr>
            <b/>
            <sz val="9"/>
            <color indexed="81"/>
            <rFont val="Tahoma"/>
            <family val="2"/>
            <charset val="238"/>
          </rPr>
          <t>KonyvtarLaptop4:</t>
        </r>
        <r>
          <rPr>
            <sz val="9"/>
            <color indexed="81"/>
            <rFont val="Tahoma"/>
            <family val="2"/>
            <charset val="238"/>
          </rPr>
          <t xml:space="preserve">
áfa megtérülés
ovi áfa
Fejérvíz áfa-
kiszámlázott áfa</t>
        </r>
      </text>
    </comment>
    <comment ref="H13" authorId="1" shapeId="0" xr:uid="{00000000-0006-0000-0B00-00000B000000}">
      <text>
        <r>
          <rPr>
            <sz val="10"/>
            <color rgb="FF000000"/>
            <rFont val="Tahoma"/>
            <family val="2"/>
            <charset val="238"/>
          </rPr>
          <t xml:space="preserve">Fizetendő Áfa
</t>
        </r>
      </text>
    </comment>
    <comment ref="C17" authorId="0" shapeId="0" xr:uid="{00000000-0006-0000-0B00-00000C000000}">
      <text>
        <r>
          <rPr>
            <b/>
            <sz val="9"/>
            <color indexed="81"/>
            <rFont val="Segoe UI"/>
            <family val="2"/>
            <charset val="238"/>
          </rPr>
          <t xml:space="preserve">Felhasználó:
</t>
        </r>
        <r>
          <rPr>
            <sz val="9"/>
            <color indexed="81"/>
            <rFont val="Segoe UI"/>
            <family val="2"/>
            <charset val="238"/>
          </rPr>
          <t xml:space="preserve"> a pedagógus béremeléshez az állami normatíva emelésre került 8.372 eFt-ról 10.147 eFt-ra emelték az 1 főre jutó támogatást, 
pedagógusok 221.204 eFt+ minősítés után 17.544  eFt , 
NOKS dolgozó normatíva: 73752 Eft összesen személyi kiadásra 312.500 eFt,
üzemeltetésre 41.835 eFt</t>
        </r>
      </text>
    </comment>
    <comment ref="H17" authorId="2" shapeId="0" xr:uid="{00000000-0006-0000-0B00-00000D000000}">
      <text>
        <r>
          <rPr>
            <sz val="9"/>
            <color rgb="FF000000"/>
            <rFont val="Tahoma"/>
            <family val="2"/>
            <charset val="238"/>
          </rPr>
          <t xml:space="preserve">ebből személyi kiadások:322.911 eFT
</t>
        </r>
        <r>
          <rPr>
            <sz val="9"/>
            <color rgb="FF000000"/>
            <rFont val="Tahoma"/>
            <family val="2"/>
            <charset val="238"/>
          </rPr>
          <t xml:space="preserve">
</t>
        </r>
        <r>
          <rPr>
            <sz val="9"/>
            <color rgb="FF000000"/>
            <rFont val="Tahoma"/>
            <family val="2"/>
            <charset val="238"/>
          </rPr>
          <t xml:space="preserve"> 
</t>
        </r>
      </text>
    </comment>
    <comment ref="D18" authorId="2" shapeId="0" xr:uid="{00000000-0006-0000-0B00-00000E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19" authorId="2" shapeId="0" xr:uid="{00000000-0006-0000-0B00-00000F000000}">
      <text>
        <r>
          <rPr>
            <b/>
            <sz val="9"/>
            <color indexed="81"/>
            <rFont val="Tahoma"/>
            <family val="2"/>
            <charset val="238"/>
          </rPr>
          <t>KonyvtarLaptop4:</t>
        </r>
        <r>
          <rPr>
            <sz val="9"/>
            <color indexed="81"/>
            <rFont val="Tahoma"/>
            <family val="2"/>
            <charset val="238"/>
          </rPr>
          <t xml:space="preserve">
iskola térítési díj bevétele</t>
        </r>
      </text>
    </comment>
    <comment ref="B25" authorId="1" shapeId="0" xr:uid="{00000000-0006-0000-0B00-000010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B26" authorId="1" shapeId="0" xr:uid="{00000000-0006-0000-0B00-000011000000}">
      <text>
        <r>
          <rPr>
            <sz val="10"/>
            <color rgb="FF000000"/>
            <rFont val="Tahoma"/>
            <family val="2"/>
            <charset val="238"/>
          </rPr>
          <t xml:space="preserve">Járási hivatal működtetése
</t>
        </r>
        <r>
          <rPr>
            <sz val="10"/>
            <color rgb="FF000000"/>
            <rFont val="Tahoma"/>
            <family val="2"/>
            <charset val="238"/>
          </rPr>
          <t>Szolgáltató ház</t>
        </r>
      </text>
    </comment>
    <comment ref="H35" authorId="2" shapeId="0" xr:uid="{00000000-0006-0000-0B00-000012000000}">
      <text>
        <r>
          <rPr>
            <b/>
            <sz val="9"/>
            <color indexed="81"/>
            <rFont val="Tahoma"/>
            <family val="2"/>
            <charset val="238"/>
          </rPr>
          <t>KonyvtarLaptop4:</t>
        </r>
        <r>
          <rPr>
            <sz val="9"/>
            <color indexed="81"/>
            <rFont val="Tahoma"/>
            <family val="2"/>
            <charset val="238"/>
          </rPr>
          <t xml:space="preserve">
védőnő bér+járulék,kiadásai
</t>
        </r>
      </text>
    </comment>
    <comment ref="D36" authorId="2" shapeId="0" xr:uid="{00000000-0006-0000-0B00-000013000000}">
      <text>
        <r>
          <rPr>
            <b/>
            <sz val="9"/>
            <color indexed="81"/>
            <rFont val="Tahoma"/>
            <family val="2"/>
            <charset val="238"/>
          </rPr>
          <t>KonyvtarLaptop4:</t>
        </r>
        <r>
          <rPr>
            <sz val="9"/>
            <color indexed="81"/>
            <rFont val="Tahoma"/>
            <family val="2"/>
            <charset val="238"/>
          </rPr>
          <t xml:space="preserve">
kórház bevétel védőnői továbbsz.
</t>
        </r>
      </text>
    </comment>
    <comment ref="H38" authorId="2" shapeId="0" xr:uid="{00000000-0006-0000-0B00-000014000000}">
      <text>
        <r>
          <rPr>
            <b/>
            <sz val="9"/>
            <color indexed="81"/>
            <rFont val="Tahoma"/>
            <family val="2"/>
            <charset val="238"/>
          </rPr>
          <t>KonyvtarLaptop4:</t>
        </r>
        <r>
          <rPr>
            <sz val="9"/>
            <color indexed="81"/>
            <rFont val="Tahoma"/>
            <family val="2"/>
            <charset val="238"/>
          </rPr>
          <t xml:space="preserve">
fogorvosi ügyelet</t>
        </r>
      </text>
    </comment>
    <comment ref="H53" authorId="0" shapeId="0" xr:uid="{00000000-0006-0000-0B00-000015000000}">
      <text>
        <r>
          <rPr>
            <b/>
            <sz val="9"/>
            <color indexed="81"/>
            <rFont val="Segoe UI"/>
            <family val="2"/>
            <charset val="238"/>
          </rPr>
          <t>Felhasználó:</t>
        </r>
        <r>
          <rPr>
            <sz val="9"/>
            <color indexed="81"/>
            <rFont val="Segoe UI"/>
            <family val="2"/>
            <charset val="238"/>
          </rPr>
          <t xml:space="preserve">
2160:Mv-i Fúvósznei Egy.támogatása
912:szöllőültetványek támogatása</t>
        </r>
      </text>
    </comment>
    <comment ref="C67" authorId="0" shapeId="0" xr:uid="{00000000-0006-0000-0B00-000016000000}">
      <text>
        <r>
          <rPr>
            <b/>
            <sz val="9"/>
            <color indexed="81"/>
            <rFont val="Segoe UI"/>
            <family val="2"/>
            <charset val="238"/>
          </rPr>
          <t>Felhasználó:</t>
        </r>
        <r>
          <rPr>
            <sz val="9"/>
            <color indexed="81"/>
            <rFont val="Segoe UI"/>
            <family val="2"/>
            <charset val="238"/>
          </rPr>
          <t xml:space="preserve">
78:ÁSZ ellenőrzés, póttámogatás
8643:normatíva kieg.felmérés</t>
        </r>
      </text>
    </comment>
    <comment ref="F67" authorId="0" shapeId="0" xr:uid="{00000000-0006-0000-0B00-000017000000}">
      <text>
        <r>
          <rPr>
            <b/>
            <sz val="9"/>
            <color indexed="81"/>
            <rFont val="Segoe UI"/>
            <family val="2"/>
            <charset val="238"/>
          </rPr>
          <t>Felhasználó:</t>
        </r>
        <r>
          <rPr>
            <sz val="9"/>
            <color indexed="81"/>
            <rFont val="Segoe UI"/>
            <family val="2"/>
            <charset val="238"/>
          </rPr>
          <t xml:space="preserve">
505:főépítész 
2160:MV-i Fúvószenei Egy. tám.
912:szöllőültetvények támogatása
311: M.Z. megbízási díj emelése
166:utcafórum eszközbeszerzés
480:baba-mama csomag
1921:polg.bérek emelése</t>
        </r>
      </text>
    </comment>
    <comment ref="D68" authorId="1" shapeId="0" xr:uid="{00000000-0006-0000-0B00-000018000000}">
      <text>
        <r>
          <rPr>
            <sz val="10"/>
            <color rgb="FF000000"/>
            <rFont val="Tahoma"/>
            <family val="2"/>
            <charset val="238"/>
          </rPr>
          <t>Fejérvíz bevétel 2024.évi elszámolás 4844 E Ft</t>
        </r>
      </text>
    </comment>
    <comment ref="C69" authorId="0" shapeId="0" xr:uid="{00000000-0006-0000-0B00-000019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C70" authorId="0" shapeId="0" xr:uid="{00000000-0006-0000-0B00-00001A000000}">
      <text>
        <r>
          <rPr>
            <b/>
            <sz val="9"/>
            <color indexed="81"/>
            <rFont val="Segoe UI"/>
            <family val="2"/>
            <charset val="238"/>
          </rPr>
          <t>Felhasználó:</t>
        </r>
        <r>
          <rPr>
            <sz val="9"/>
            <color indexed="81"/>
            <rFont val="Segoe UI"/>
            <family val="2"/>
            <charset val="238"/>
          </rPr>
          <t xml:space="preserve">
9856: Martonvásári Fúvószenei Egyesület
211637:2024.évi szabad maradvány
20704:2024.évi intézményi maradvány
1350:normatíva visszafizetése
54039:fordított ÁFA pályázatból visszatérítése
9601:közműcsatlakozási díj
5773:fel nem használt 2024.évi TKT önk.hozzájárulás visszafizetése
1030:RRF bölcsőde 2.sz. elszámolás
2901:szolidaritási hozzáj.módosítása kiközlő alapján</t>
        </r>
      </text>
    </comment>
    <comment ref="F73" authorId="0" shapeId="0" xr:uid="{00000000-0006-0000-0B00-00001B000000}">
      <text>
        <r>
          <rPr>
            <b/>
            <sz val="9"/>
            <color indexed="81"/>
            <rFont val="Segoe UI"/>
            <family val="2"/>
            <charset val="238"/>
          </rPr>
          <t>Felhasználó:</t>
        </r>
        <r>
          <rPr>
            <sz val="9"/>
            <color indexed="81"/>
            <rFont val="Segoe UI"/>
            <family val="2"/>
            <charset val="238"/>
          </rPr>
          <t xml:space="preserve">
180: OV. Múzeum műemléki kutató munka
147:iskolafelírat készítése
114: Estike-Béke utca tanulmány terv
2000:Embertársainkért Alapítvány támogatása
357: igazgatási szolgáltatsái díj
100+80+100+160+80: RRF Bölcsőde hírdetményi díja
200:elektromos kerékpár üzembehelyezése
934: Szolgalmi jog (KEHOP)
65: KEHOP értékbecslés
12:változási vázrajz
122:felszámolási eljárási díj
150:értékbecslés
600: tervek
7895: KAP önrész
49405:bölcsőde pótmunka
959:késedelmi kamat
90:rreklémeszközök beszerzése
64:térfigyelőkamera cseréje
160,80:eszközbeszerzés hírdetmény díja
11:ig.szolg.díj
143:mozgássérült rámpa iskolába
254:kosárpalánk statikai kiviteli terv</t>
        </r>
      </text>
    </comment>
    <comment ref="F75" authorId="0" shapeId="0" xr:uid="{00000000-0006-0000-0B00-00001C000000}">
      <text>
        <r>
          <rPr>
            <b/>
            <sz val="9"/>
            <color indexed="81"/>
            <rFont val="Segoe UI"/>
            <family val="2"/>
            <charset val="238"/>
          </rPr>
          <t>Felhasználó:</t>
        </r>
        <r>
          <rPr>
            <sz val="9"/>
            <color indexed="81"/>
            <rFont val="Segoe UI"/>
            <family val="2"/>
            <charset val="238"/>
          </rPr>
          <t xml:space="preserve">
1354:Szennyvíztelep fúvóka felújítása
2097:légbefúvó beszerzés
2927:Szt.László u.3. cst.bekötő csere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C00-000001000000}">
      <text>
        <r>
          <rPr>
            <b/>
            <sz val="9"/>
            <color indexed="81"/>
            <rFont val="Segoe UI"/>
            <family val="2"/>
            <charset val="238"/>
          </rPr>
          <t>Felhasználó:</t>
        </r>
        <r>
          <rPr>
            <sz val="9"/>
            <color indexed="81"/>
            <rFont val="Segoe UI"/>
            <family val="2"/>
            <charset val="238"/>
          </rPr>
          <t xml:space="preserve">
1080 eFt NAK mezőőri támogatás,
147.463 eFt hivatali működés állami normatíva támogatása (1 főre jutó fajlagos összeg 6.994 eFt)</t>
        </r>
      </text>
    </comment>
    <comment ref="D9" authorId="1" shapeId="0" xr:uid="{00000000-0006-0000-0C00-000002000000}">
      <text>
        <r>
          <rPr>
            <sz val="10"/>
            <color rgb="FF000000"/>
            <rFont val="Tahoma"/>
            <family val="2"/>
            <charset val="238"/>
          </rPr>
          <t xml:space="preserve">
I. módosítás: 
maradvány igénybevétele 20380 EFT -16321 Eft
anyakönyvvezetői díjak:371 Eft
</t>
        </r>
      </text>
    </comment>
    <comment ref="H9" authorId="0" shapeId="0" xr:uid="{00000000-0006-0000-0C00-000003000000}">
      <text>
        <r>
          <rPr>
            <b/>
            <sz val="9"/>
            <color indexed="81"/>
            <rFont val="Segoe UI"/>
            <family val="2"/>
            <charset val="238"/>
          </rPr>
          <t>Felhasználó:</t>
        </r>
        <r>
          <rPr>
            <sz val="9"/>
            <color indexed="81"/>
            <rFont val="Segoe UI"/>
            <family val="2"/>
            <charset val="238"/>
          </rPr>
          <t xml:space="preserve">
II.módosítás: 
-anyakönyvvezetői díjak: (129+16)+(193+25)
-telefondíj szolgáltatás: 300+400</t>
        </r>
      </text>
    </comment>
    <comment ref="D10" authorId="1" shapeId="0" xr:uid="{00000000-0006-0000-0C00-000004000000}">
      <text>
        <r>
          <rPr>
            <sz val="10"/>
            <color rgb="FF000000"/>
            <rFont val="Tahoma"/>
            <family val="2"/>
            <charset val="238"/>
          </rPr>
          <t xml:space="preserve">Összes egyéb bevétel:  
</t>
        </r>
      </text>
    </comment>
    <comment ref="H10" authorId="2" shapeId="0" xr:uid="{00000000-0006-0000-0C00-000005000000}">
      <text>
        <r>
          <rPr>
            <b/>
            <sz val="9"/>
            <color indexed="81"/>
            <rFont val="Tahoma"/>
            <family val="2"/>
            <charset val="238"/>
          </rPr>
          <t>KonyvtarLaptop4:</t>
        </r>
        <r>
          <rPr>
            <sz val="9"/>
            <color indexed="81"/>
            <rFont val="Tahoma"/>
            <family val="2"/>
            <charset val="238"/>
          </rPr>
          <t xml:space="preserve">
tiszteletdíj+járulék
311:M.Z. megbízási díj emelése
1921:polg.bérek emelése</t>
        </r>
      </text>
    </comment>
    <comment ref="B12" authorId="1" shapeId="0" xr:uid="{00000000-0006-0000-0C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C00-000007000000}">
      <text>
        <r>
          <rPr>
            <sz val="10"/>
            <color rgb="FF000000"/>
            <rFont val="Tahoma"/>
            <family val="2"/>
            <charset val="238"/>
          </rPr>
          <t xml:space="preserve">Összes egyéb támogatás:
</t>
        </r>
      </text>
    </comment>
    <comment ref="D12" authorId="1" shapeId="0" xr:uid="{00000000-0006-0000-0C00-000008000000}">
      <text>
        <r>
          <rPr>
            <sz val="10"/>
            <color rgb="FF000000"/>
            <rFont val="Tahoma"/>
            <family val="2"/>
            <charset val="238"/>
          </rPr>
          <t xml:space="preserve">működési célú átvett pe.
</t>
        </r>
      </text>
    </comment>
    <comment ref="H12" authorId="0" shapeId="0" xr:uid="{00000000-0006-0000-0C00-000009000000}">
      <text>
        <r>
          <rPr>
            <b/>
            <sz val="9"/>
            <color indexed="81"/>
            <rFont val="Segoe UI"/>
            <family val="2"/>
            <charset val="238"/>
          </rPr>
          <t>Felhasználó:</t>
        </r>
        <r>
          <rPr>
            <sz val="9"/>
            <color indexed="81"/>
            <rFont val="Segoe UI"/>
            <family val="2"/>
            <charset val="238"/>
          </rPr>
          <t xml:space="preserve">
53: fényképészeti tevékenység
655: Saint Avertin utazási ktg
980: mobil tüdőszűrő szolg
416: baba mama csomag és nyomtatás</t>
        </r>
      </text>
    </comment>
    <comment ref="D13" authorId="2" shapeId="0" xr:uid="{00000000-0006-0000-0C00-00000A000000}">
      <text>
        <r>
          <rPr>
            <b/>
            <sz val="9"/>
            <color indexed="81"/>
            <rFont val="Tahoma"/>
            <family val="2"/>
            <charset val="238"/>
          </rPr>
          <t>KonyvtarLaptop4:</t>
        </r>
        <r>
          <rPr>
            <sz val="9"/>
            <color indexed="81"/>
            <rFont val="Tahoma"/>
            <family val="2"/>
            <charset val="238"/>
          </rPr>
          <t xml:space="preserve">
áfa megtérülés
ovi áfa
Fejérvíz áfa-
kiszámlázott áfa</t>
        </r>
      </text>
    </comment>
    <comment ref="H13" authorId="1" shapeId="0" xr:uid="{00000000-0006-0000-0C00-00000B000000}">
      <text>
        <r>
          <rPr>
            <sz val="10"/>
            <color rgb="FF000000"/>
            <rFont val="Tahoma"/>
            <family val="2"/>
            <charset val="238"/>
          </rPr>
          <t xml:space="preserve">Fizetendő Áfa
</t>
        </r>
      </text>
    </comment>
    <comment ref="D15" authorId="0" shapeId="0" xr:uid="{00000000-0006-0000-0C00-00000C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H15" authorId="0" shapeId="0" xr:uid="{00000000-0006-0000-0C00-00000D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C17" authorId="0" shapeId="0" xr:uid="{00000000-0006-0000-0C00-00000E000000}">
      <text>
        <r>
          <rPr>
            <b/>
            <sz val="9"/>
            <color indexed="81"/>
            <rFont val="Segoe UI"/>
            <family val="2"/>
            <charset val="238"/>
          </rPr>
          <t xml:space="preserve">Felhasználó:
</t>
        </r>
        <r>
          <rPr>
            <sz val="9"/>
            <color indexed="81"/>
            <rFont val="Segoe UI"/>
            <family val="2"/>
            <charset val="238"/>
          </rPr>
          <t xml:space="preserve"> a pedagógus béremeléshez az állami normatíva emelésre került 8.372 eFt-ról 10.147 eFt-ra emelték az 1 főre jutó támogatást, 
pedagógusok 221.204 eFt+ minősítés után 17.544  eFt , 
NOKS dolgozó normatíva: 73752 Eft összesen személyi kiadásra 312.500 eFt,
üzemeltetésre 41.835 eFt</t>
        </r>
      </text>
    </comment>
    <comment ref="H17" authorId="2" shapeId="0" xr:uid="{00000000-0006-0000-0C00-00000F000000}">
      <text>
        <r>
          <rPr>
            <sz val="9"/>
            <color rgb="FF000000"/>
            <rFont val="Tahoma"/>
            <family val="2"/>
            <charset val="238"/>
          </rPr>
          <t xml:space="preserve">ebből személyi kiadások:322.911 eFT
</t>
        </r>
        <r>
          <rPr>
            <sz val="9"/>
            <color rgb="FF000000"/>
            <rFont val="Tahoma"/>
            <family val="2"/>
            <charset val="238"/>
          </rPr>
          <t xml:space="preserve">
</t>
        </r>
        <r>
          <rPr>
            <sz val="9"/>
            <color rgb="FF000000"/>
            <rFont val="Tahoma"/>
            <family val="2"/>
            <charset val="238"/>
          </rPr>
          <t xml:space="preserve"> 
</t>
        </r>
      </text>
    </comment>
    <comment ref="D18" authorId="2" shapeId="0" xr:uid="{00000000-0006-0000-0C00-000010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19" authorId="2" shapeId="0" xr:uid="{00000000-0006-0000-0C00-000011000000}">
      <text>
        <r>
          <rPr>
            <b/>
            <sz val="9"/>
            <color indexed="81"/>
            <rFont val="Tahoma"/>
            <family val="2"/>
            <charset val="238"/>
          </rPr>
          <t>KonyvtarLaptop4:</t>
        </r>
        <r>
          <rPr>
            <sz val="9"/>
            <color indexed="81"/>
            <rFont val="Tahoma"/>
            <family val="2"/>
            <charset val="238"/>
          </rPr>
          <t xml:space="preserve">
iskola térítési díj bevétele</t>
        </r>
      </text>
    </comment>
    <comment ref="B25" authorId="1" shapeId="0" xr:uid="{00000000-0006-0000-0C00-000012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B26" authorId="1" shapeId="0" xr:uid="{00000000-0006-0000-0C00-000013000000}">
      <text>
        <r>
          <rPr>
            <sz val="10"/>
            <color rgb="FF000000"/>
            <rFont val="Tahoma"/>
            <family val="2"/>
            <charset val="238"/>
          </rPr>
          <t xml:space="preserve">Járási hivatal működtetése
</t>
        </r>
        <r>
          <rPr>
            <sz val="10"/>
            <color rgb="FF000000"/>
            <rFont val="Tahoma"/>
            <family val="2"/>
            <charset val="238"/>
          </rPr>
          <t>Szolgáltató ház</t>
        </r>
      </text>
    </comment>
    <comment ref="H35" authorId="2" shapeId="0" xr:uid="{00000000-0006-0000-0C00-000014000000}">
      <text>
        <r>
          <rPr>
            <b/>
            <sz val="9"/>
            <color indexed="81"/>
            <rFont val="Tahoma"/>
            <family val="2"/>
            <charset val="238"/>
          </rPr>
          <t>KonyvtarLaptop4:</t>
        </r>
        <r>
          <rPr>
            <sz val="9"/>
            <color indexed="81"/>
            <rFont val="Tahoma"/>
            <family val="2"/>
            <charset val="238"/>
          </rPr>
          <t xml:space="preserve">
védőnő bér+járulék,kiadásai
</t>
        </r>
      </text>
    </comment>
    <comment ref="D36" authorId="2" shapeId="0" xr:uid="{00000000-0006-0000-0C00-000015000000}">
      <text>
        <r>
          <rPr>
            <b/>
            <sz val="9"/>
            <color indexed="81"/>
            <rFont val="Tahoma"/>
            <family val="2"/>
            <charset val="238"/>
          </rPr>
          <t>KonyvtarLaptop4:</t>
        </r>
        <r>
          <rPr>
            <sz val="9"/>
            <color indexed="81"/>
            <rFont val="Tahoma"/>
            <family val="2"/>
            <charset val="238"/>
          </rPr>
          <t xml:space="preserve">
kórház bevétel védőnői továbbsz.
</t>
        </r>
      </text>
    </comment>
    <comment ref="H38" authorId="2" shapeId="0" xr:uid="{00000000-0006-0000-0C00-000016000000}">
      <text>
        <r>
          <rPr>
            <b/>
            <sz val="9"/>
            <color indexed="81"/>
            <rFont val="Tahoma"/>
            <family val="2"/>
            <charset val="238"/>
          </rPr>
          <t>KonyvtarLaptop4:</t>
        </r>
        <r>
          <rPr>
            <sz val="9"/>
            <color indexed="81"/>
            <rFont val="Tahoma"/>
            <family val="2"/>
            <charset val="238"/>
          </rPr>
          <t xml:space="preserve">
fogorvosi ügyelet</t>
        </r>
      </text>
    </comment>
    <comment ref="H53" authorId="0" shapeId="0" xr:uid="{00000000-0006-0000-0C00-000017000000}">
      <text>
        <r>
          <rPr>
            <b/>
            <sz val="9"/>
            <color indexed="81"/>
            <rFont val="Segoe UI"/>
            <family val="2"/>
            <charset val="238"/>
          </rPr>
          <t>Felhasználó:</t>
        </r>
        <r>
          <rPr>
            <sz val="9"/>
            <color indexed="81"/>
            <rFont val="Segoe UI"/>
            <family val="2"/>
            <charset val="238"/>
          </rPr>
          <t xml:space="preserve">
300: Beethoven Alapítvány tám</t>
        </r>
      </text>
    </comment>
    <comment ref="C67" authorId="0" shapeId="0" xr:uid="{00000000-0006-0000-0C00-000018000000}">
      <text>
        <r>
          <rPr>
            <b/>
            <sz val="9"/>
            <color indexed="81"/>
            <rFont val="Segoe UI"/>
            <family val="2"/>
            <charset val="238"/>
          </rPr>
          <t>Felhasználó:</t>
        </r>
        <r>
          <rPr>
            <sz val="9"/>
            <color indexed="81"/>
            <rFont val="Segoe UI"/>
            <family val="2"/>
            <charset val="238"/>
          </rPr>
          <t xml:space="preserve">
78:ÁSZ ellenőrzés, póttámogatás
8643:normatíva kieg.felmérés</t>
        </r>
      </text>
    </comment>
    <comment ref="F67" authorId="0" shapeId="0" xr:uid="{00000000-0006-0000-0C00-000019000000}">
      <text>
        <r>
          <rPr>
            <b/>
            <sz val="9"/>
            <color indexed="81"/>
            <rFont val="Segoe UI"/>
            <family val="2"/>
            <charset val="238"/>
          </rPr>
          <t>Felhasználó:</t>
        </r>
        <r>
          <rPr>
            <sz val="9"/>
            <color indexed="81"/>
            <rFont val="Segoe UI"/>
            <family val="2"/>
            <charset val="238"/>
          </rPr>
          <t xml:space="preserve">
53: fényképészeti tevékenység
655: Saint Avertin utazási ktg
980: mobil tüdőszűrő szolg
300: Beethoven Alapítvány tám
416: baba mama csomag és nyomtatás</t>
        </r>
      </text>
    </comment>
    <comment ref="D68" authorId="1" shapeId="0" xr:uid="{00000000-0006-0000-0C00-00001A000000}">
      <text>
        <r>
          <rPr>
            <sz val="10"/>
            <color rgb="FF000000"/>
            <rFont val="Tahoma"/>
            <family val="2"/>
            <charset val="238"/>
          </rPr>
          <t>Fejérvíz bevétel 2024.évi elszámolás 4844 E Ft</t>
        </r>
      </text>
    </comment>
    <comment ref="F68" authorId="0" shapeId="0" xr:uid="{00000000-0006-0000-0C00-00001B000000}">
      <text>
        <r>
          <rPr>
            <b/>
            <sz val="9"/>
            <color indexed="81"/>
            <rFont val="Segoe UI"/>
            <family val="2"/>
            <charset val="238"/>
          </rPr>
          <t>Felhasználó:</t>
        </r>
        <r>
          <rPr>
            <sz val="9"/>
            <color indexed="81"/>
            <rFont val="Segoe UI"/>
            <family val="2"/>
            <charset val="238"/>
          </rPr>
          <t xml:space="preserve">
1383: M6 átemelő szivattyú pótlása</t>
        </r>
      </text>
    </comment>
    <comment ref="C69" authorId="0" shapeId="0" xr:uid="{00000000-0006-0000-0C00-00001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C70" authorId="0" shapeId="0" xr:uid="{00000000-0006-0000-0C00-00001D000000}">
      <text>
        <r>
          <rPr>
            <b/>
            <sz val="9"/>
            <color indexed="81"/>
            <rFont val="Segoe UI"/>
            <family val="2"/>
            <charset val="238"/>
          </rPr>
          <t>Felhasználó:</t>
        </r>
        <r>
          <rPr>
            <sz val="9"/>
            <color indexed="81"/>
            <rFont val="Segoe UI"/>
            <family val="2"/>
            <charset val="238"/>
          </rPr>
          <t xml:space="preserve">
1010:2024.évi elszámolás pótigény
10.000: Martonvásárért Alapítvány LEADER visszafiz
1247: 2024.évi önk projektek fel nem használt rész visszafiz
32609: RRF bölcsi 3.részszámla FA megtérülés
146788: REKI támogatás 
</t>
        </r>
      </text>
    </comment>
    <comment ref="F73" authorId="0" shapeId="0" xr:uid="{00000000-0006-0000-0C00-00001E000000}">
      <text>
        <r>
          <rPr>
            <b/>
            <sz val="9"/>
            <color indexed="81"/>
            <rFont val="Segoe UI"/>
            <family val="2"/>
            <charset val="238"/>
          </rPr>
          <t>Felhasználó:</t>
        </r>
        <r>
          <rPr>
            <sz val="9"/>
            <color indexed="81"/>
            <rFont val="Segoe UI"/>
            <family val="2"/>
            <charset val="238"/>
          </rPr>
          <t xml:space="preserve">
II.mód:
337: autóelszállítás
1018: RRF bölcsi műszaki ellenőri díj megelőlegezése
2536: RRF bölcsi műszaki ellenőri díj saját forrás
317: Emlékezés tere okoszebra hardware frissítés
150: ingatlan értékbecslés
770: RRF bölcsi pm díj megelőlegezése
19: Gyepmesteri tevékenység kamat
761: közintézmények energiahatékonysága
649: TOP plusz 123 belterületi utak PM részszámla
381: GDPR felkészítési szolgáltatás
560: Rákóczi u 17 (1017 hrsz) árverési előleg
159: Mv 1909 hrsz megosztás ktge
244: KEHOP e építési napló rendszerhasználati díj
59: Ig szolg díj
4941: TOP plusz 123 belter utak tervek megelőlegezése
1030: RRF bölcsi 60% műszaki ell megelőlegezés
98: RRF bölcsi e építési napló
778: rendezvények miatti áramhálózathoz csatl
320: TOP plusz 123 belterületi utak közb audit megelőlegezése
4803: kosárlabda palánk
3500: RRF bölcsi projektasszisztens megelőlegezés
60: szemétszedési konténer
29.688: RRF bölcsi 4.részszámla FA
71: Bölcsődei tűzcsap vízhozam mérés
330: adatvédelmi tisztviselői szolg II.név
113.297: HIPA többletfiz köt
100: RRF bölcsi eszközbeszerzés hird díj
1000: MVK eseti szerződés mód (lengyel delegáció)
153: 2025.04-05.havi fiz ÁFA
</t>
        </r>
      </text>
    </comment>
    <comment ref="F75" authorId="0" shapeId="0" xr:uid="{00000000-0006-0000-0C00-00001F000000}">
      <text>
        <r>
          <rPr>
            <b/>
            <sz val="9"/>
            <color indexed="81"/>
            <rFont val="Segoe UI"/>
            <family val="2"/>
            <charset val="238"/>
          </rPr>
          <t>Felhasználó:</t>
        </r>
        <r>
          <rPr>
            <sz val="9"/>
            <color indexed="81"/>
            <rFont val="Segoe UI"/>
            <family val="2"/>
            <charset val="238"/>
          </rPr>
          <t xml:space="preserve">
1354:Szennyvíztelep fúvóka felújítása
2097:légbefúvó beszerzés
2927:Szt.László u.3. cst.bekötő csere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D00-000001000000}">
      <text>
        <r>
          <rPr>
            <b/>
            <sz val="9"/>
            <color indexed="81"/>
            <rFont val="Segoe UI"/>
            <family val="2"/>
            <charset val="238"/>
          </rPr>
          <t>Felhasználó:</t>
        </r>
        <r>
          <rPr>
            <sz val="9"/>
            <color indexed="81"/>
            <rFont val="Segoe UI"/>
            <family val="2"/>
            <charset val="238"/>
          </rPr>
          <t xml:space="preserve">
11.885 E Ft: 15% béremelés</t>
        </r>
      </text>
    </comment>
    <comment ref="D9" authorId="1" shapeId="0" xr:uid="{00000000-0006-0000-0D00-000002000000}">
      <text>
        <r>
          <rPr>
            <sz val="10"/>
            <color rgb="FF000000"/>
            <rFont val="Tahoma"/>
            <family val="2"/>
            <charset val="238"/>
          </rPr>
          <t xml:space="preserve">
III. módosítás: 
anyakönyvvezetői díjak:873+364 Eft
közvetített szolg:200 E Ft
</t>
        </r>
      </text>
    </comment>
    <comment ref="H9" authorId="0" shapeId="0" xr:uid="{00000000-0006-0000-0D00-000003000000}">
      <text>
        <r>
          <rPr>
            <b/>
            <sz val="9"/>
            <color indexed="81"/>
            <rFont val="Segoe UI"/>
            <family val="2"/>
            <charset val="238"/>
          </rPr>
          <t>Felhasználó:</t>
        </r>
        <r>
          <rPr>
            <sz val="9"/>
            <color indexed="81"/>
            <rFont val="Segoe UI"/>
            <family val="2"/>
            <charset val="238"/>
          </rPr>
          <t xml:space="preserve">
III.módosítás: 
10518+1367 E Ft:béremelés
-anyakönyvvezetői díjak: 873+364
-telefondíj szolgáltatás: 200</t>
        </r>
      </text>
    </comment>
    <comment ref="D10" authorId="1" shapeId="0" xr:uid="{00000000-0006-0000-0D00-000004000000}">
      <text>
        <r>
          <rPr>
            <sz val="10"/>
            <color rgb="FF000000"/>
            <rFont val="Tahoma"/>
            <family val="2"/>
            <charset val="238"/>
          </rPr>
          <t xml:space="preserve">Összes egyéb bevétel:  
</t>
        </r>
      </text>
    </comment>
    <comment ref="H10" authorId="2" shapeId="0" xr:uid="{00000000-0006-0000-0D00-000005000000}">
      <text>
        <r>
          <rPr>
            <b/>
            <sz val="9"/>
            <color indexed="81"/>
            <rFont val="Tahoma"/>
            <family val="2"/>
            <charset val="238"/>
          </rPr>
          <t>KonyvtarLaptop4:</t>
        </r>
        <r>
          <rPr>
            <sz val="9"/>
            <color indexed="81"/>
            <rFont val="Tahoma"/>
            <family val="2"/>
            <charset val="238"/>
          </rPr>
          <t xml:space="preserve">
tiszteletdíj+járulék
311:M.Z. megbízási díj emelése
1921:polg.bérek emelése</t>
        </r>
      </text>
    </comment>
    <comment ref="B12" authorId="1" shapeId="0" xr:uid="{00000000-0006-0000-0D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D00-000007000000}">
      <text>
        <r>
          <rPr>
            <sz val="10"/>
            <color rgb="FF000000"/>
            <rFont val="Tahoma"/>
            <family val="2"/>
            <charset val="238"/>
          </rPr>
          <t xml:space="preserve">Összes egyéb támogatás:
</t>
        </r>
      </text>
    </comment>
    <comment ref="D12" authorId="1" shapeId="0" xr:uid="{00000000-0006-0000-0D00-000008000000}">
      <text>
        <r>
          <rPr>
            <sz val="10"/>
            <color rgb="FF000000"/>
            <rFont val="Tahoma"/>
            <family val="2"/>
            <charset val="238"/>
          </rPr>
          <t>4500:továbbszámlázott szolg bev.ei.</t>
        </r>
      </text>
    </comment>
    <comment ref="H12" authorId="0" shapeId="0" xr:uid="{00000000-0006-0000-0D00-000009000000}">
      <text>
        <r>
          <rPr>
            <b/>
            <sz val="9"/>
            <color indexed="81"/>
            <rFont val="Segoe UI"/>
            <family val="2"/>
            <charset val="238"/>
          </rPr>
          <t>Felhasználó:</t>
        </r>
        <r>
          <rPr>
            <sz val="9"/>
            <color indexed="81"/>
            <rFont val="Segoe UI"/>
            <family val="2"/>
            <charset val="238"/>
          </rPr>
          <t xml:space="preserve">
748+92:nyári diákmunka
65:TÖOSZ konferencia szolg.
400:baba-mama csomag
797:Emlékérme beszerzés
195:Epipen
1285:Mezőkölpény Ref.köz.tám
195:EPIPEN
4500:továbbszámlázott szolg ÁFA emelése</t>
        </r>
      </text>
    </comment>
    <comment ref="D13" authorId="2" shapeId="0" xr:uid="{00000000-0006-0000-0D00-00000A000000}">
      <text>
        <r>
          <rPr>
            <b/>
            <sz val="9"/>
            <color indexed="81"/>
            <rFont val="Tahoma"/>
            <family val="2"/>
            <charset val="238"/>
          </rPr>
          <t>KonyvtarLaptop4:</t>
        </r>
        <r>
          <rPr>
            <sz val="9"/>
            <color indexed="81"/>
            <rFont val="Tahoma"/>
            <family val="2"/>
            <charset val="238"/>
          </rPr>
          <t xml:space="preserve">
áfa megtérülés
ovi áfa
Fejérvíz áfa-
kiszámlázott áfa</t>
        </r>
      </text>
    </comment>
    <comment ref="H13" authorId="1" shapeId="0" xr:uid="{00000000-0006-0000-0D00-00000B000000}">
      <text>
        <r>
          <rPr>
            <sz val="10"/>
            <color rgb="FF000000"/>
            <rFont val="Tahoma"/>
            <family val="2"/>
            <charset val="238"/>
          </rPr>
          <t xml:space="preserve">Fizetendő Áfa
</t>
        </r>
      </text>
    </comment>
    <comment ref="D15" authorId="0" shapeId="0" xr:uid="{00000000-0006-0000-0D00-00000C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H15" authorId="0" shapeId="0" xr:uid="{00000000-0006-0000-0D00-00000D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C17" authorId="0" shapeId="0" xr:uid="{00000000-0006-0000-0D00-00000E000000}">
      <text>
        <r>
          <rPr>
            <b/>
            <sz val="9"/>
            <color indexed="81"/>
            <rFont val="Segoe UI"/>
            <family val="2"/>
            <charset val="238"/>
          </rPr>
          <t xml:space="preserve">Felhasználó:
III.mód:1962 E Ft TÉR értékelés plusz normatíva
</t>
        </r>
        <r>
          <rPr>
            <sz val="9"/>
            <color indexed="81"/>
            <rFont val="Segoe UI"/>
            <family val="2"/>
            <charset val="238"/>
          </rPr>
          <t xml:space="preserve"> a pedagógus béremeléshez az állami normatíva emelésre került 8.372 eFt-ról 10.147 eFt-ra emelték az 1 főre jutó támogatást, 
pedagógusok 221.204 eFt+ minősítés után 17.544  eFt , 
NOKS dolgozó normatíva: 73752 Eft összesen személyi kiadásra 312.500 eFt,
üzemeltetésre 41.835 eFt</t>
        </r>
      </text>
    </comment>
    <comment ref="H17" authorId="2" shapeId="0" xr:uid="{00000000-0006-0000-0D00-00000F000000}">
      <text>
        <r>
          <rPr>
            <sz val="9"/>
            <color rgb="FF000000"/>
            <rFont val="Tahoma"/>
            <family val="2"/>
            <charset val="238"/>
          </rPr>
          <t>ebből személyi kiadások:322.911 eFT
 III.mód:
1736+226 E Ft:plusz normatíva TÉR értékelésre
szakmai kirándulás:555 E ft</t>
        </r>
      </text>
    </comment>
    <comment ref="D18" authorId="2" shapeId="0" xr:uid="{00000000-0006-0000-0D00-000010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19" authorId="2" shapeId="0" xr:uid="{00000000-0006-0000-0D00-000011000000}">
      <text>
        <r>
          <rPr>
            <b/>
            <sz val="9"/>
            <color indexed="81"/>
            <rFont val="Tahoma"/>
            <family val="2"/>
            <charset val="238"/>
          </rPr>
          <t>KonyvtarLaptop4:</t>
        </r>
        <r>
          <rPr>
            <sz val="9"/>
            <color indexed="81"/>
            <rFont val="Tahoma"/>
            <family val="2"/>
            <charset val="238"/>
          </rPr>
          <t xml:space="preserve">
iskola térítési díj bevétele</t>
        </r>
      </text>
    </comment>
    <comment ref="B25" authorId="1" shapeId="0" xr:uid="{00000000-0006-0000-0D00-000012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B26" authorId="1" shapeId="0" xr:uid="{00000000-0006-0000-0D00-000013000000}">
      <text>
        <r>
          <rPr>
            <sz val="10"/>
            <color rgb="FF000000"/>
            <rFont val="Tahoma"/>
            <family val="2"/>
            <charset val="238"/>
          </rPr>
          <t xml:space="preserve">Járási hivatal működtetése
</t>
        </r>
        <r>
          <rPr>
            <sz val="10"/>
            <color rgb="FF000000"/>
            <rFont val="Tahoma"/>
            <family val="2"/>
            <charset val="238"/>
          </rPr>
          <t>Szolgáltató ház</t>
        </r>
      </text>
    </comment>
    <comment ref="H35" authorId="2" shapeId="0" xr:uid="{00000000-0006-0000-0D00-000014000000}">
      <text>
        <r>
          <rPr>
            <b/>
            <sz val="9"/>
            <color indexed="81"/>
            <rFont val="Tahoma"/>
            <family val="2"/>
            <charset val="238"/>
          </rPr>
          <t>KonyvtarLaptop4:</t>
        </r>
        <r>
          <rPr>
            <sz val="9"/>
            <color indexed="81"/>
            <rFont val="Tahoma"/>
            <family val="2"/>
            <charset val="238"/>
          </rPr>
          <t xml:space="preserve">
védőnő bér+járulék,kiadásai
</t>
        </r>
      </text>
    </comment>
    <comment ref="D36" authorId="2" shapeId="0" xr:uid="{00000000-0006-0000-0D00-000015000000}">
      <text>
        <r>
          <rPr>
            <b/>
            <sz val="9"/>
            <color indexed="81"/>
            <rFont val="Tahoma"/>
            <family val="2"/>
            <charset val="238"/>
          </rPr>
          <t>KonyvtarLaptop4:</t>
        </r>
        <r>
          <rPr>
            <sz val="9"/>
            <color indexed="81"/>
            <rFont val="Tahoma"/>
            <family val="2"/>
            <charset val="238"/>
          </rPr>
          <t xml:space="preserve">
kórház bevétel védőnői továbbsz.
</t>
        </r>
      </text>
    </comment>
    <comment ref="H38" authorId="2" shapeId="0" xr:uid="{00000000-0006-0000-0D00-000016000000}">
      <text>
        <r>
          <rPr>
            <b/>
            <sz val="9"/>
            <color indexed="81"/>
            <rFont val="Tahoma"/>
            <family val="2"/>
            <charset val="238"/>
          </rPr>
          <t>KonyvtarLaptop4:</t>
        </r>
        <r>
          <rPr>
            <sz val="9"/>
            <color indexed="81"/>
            <rFont val="Tahoma"/>
            <family val="2"/>
            <charset val="238"/>
          </rPr>
          <t xml:space="preserve">
fogorvosi ügyelet</t>
        </r>
      </text>
    </comment>
    <comment ref="H53" authorId="0" shapeId="0" xr:uid="{00000000-0006-0000-0D00-000017000000}">
      <text>
        <r>
          <rPr>
            <b/>
            <sz val="9"/>
            <color indexed="81"/>
            <rFont val="Segoe UI"/>
            <family val="2"/>
            <charset val="238"/>
          </rPr>
          <t>Felhasználó:</t>
        </r>
        <r>
          <rPr>
            <sz val="9"/>
            <color indexed="81"/>
            <rFont val="Segoe UI"/>
            <family val="2"/>
            <charset val="238"/>
          </rPr>
          <t xml:space="preserve">
300: Beethoven Alapítvány tám</t>
        </r>
      </text>
    </comment>
    <comment ref="C67" authorId="0" shapeId="0" xr:uid="{00000000-0006-0000-0D00-000018000000}">
      <text>
        <r>
          <rPr>
            <b/>
            <sz val="9"/>
            <color indexed="81"/>
            <rFont val="Segoe UI"/>
            <family val="2"/>
            <charset val="238"/>
          </rPr>
          <t>Felhasználó:</t>
        </r>
        <r>
          <rPr>
            <sz val="9"/>
            <color indexed="81"/>
            <rFont val="Segoe UI"/>
            <family val="2"/>
            <charset val="238"/>
          </rPr>
          <t xml:space="preserve">
5350:polg.illetményemelés támogatása
313:nyári diákmunka
52:májusi normatíva</t>
        </r>
      </text>
    </comment>
    <comment ref="F67" authorId="0" shapeId="0" xr:uid="{00000000-0006-0000-0D00-000019000000}">
      <text>
        <r>
          <rPr>
            <b/>
            <sz val="9"/>
            <color indexed="81"/>
            <rFont val="Segoe UI"/>
            <family val="2"/>
            <charset val="238"/>
          </rPr>
          <t>Felhasználó:</t>
        </r>
        <r>
          <rPr>
            <sz val="9"/>
            <color indexed="81"/>
            <rFont val="Segoe UI"/>
            <family val="2"/>
            <charset val="238"/>
          </rPr>
          <t xml:space="preserve">
III:
555 Eft: Szakmai kirándulás B.Ovi
840:nyári diákmunka
65:TÖOSZ konferencia szolg.
400:Baba-mama csomag
797:Emlékérme beszerzés
195:Epipen
1285:Mezőkölpény támogatása
339:terülei védőnők jutalom</t>
        </r>
      </text>
    </comment>
    <comment ref="D68" authorId="1" shapeId="0" xr:uid="{00000000-0006-0000-0D00-00001A000000}">
      <text>
        <r>
          <rPr>
            <sz val="10"/>
            <color rgb="FF000000"/>
            <rFont val="Tahoma"/>
            <family val="2"/>
            <charset val="238"/>
          </rPr>
          <t>Fejérvíz bevétel 2024.évi elszámolás 4844 E Ft</t>
        </r>
      </text>
    </comment>
    <comment ref="F68" authorId="0" shapeId="0" xr:uid="{00000000-0006-0000-0D00-00001B000000}">
      <text>
        <r>
          <rPr>
            <b/>
            <sz val="9"/>
            <color indexed="81"/>
            <rFont val="Segoe UI"/>
            <family val="2"/>
            <charset val="238"/>
          </rPr>
          <t>Felhasználó:</t>
        </r>
        <r>
          <rPr>
            <sz val="9"/>
            <color indexed="81"/>
            <rFont val="Segoe UI"/>
            <family val="2"/>
            <charset val="238"/>
          </rPr>
          <t xml:space="preserve">
1383: M6 átemelő szivattyú pótlása</t>
        </r>
      </text>
    </comment>
    <comment ref="C69" authorId="0" shapeId="0" xr:uid="{00000000-0006-0000-0D00-00001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C70" authorId="0" shapeId="0" xr:uid="{00000000-0006-0000-0D00-00001D000000}">
      <text>
        <r>
          <rPr>
            <b/>
            <sz val="9"/>
            <color indexed="81"/>
            <rFont val="Segoe UI"/>
            <family val="2"/>
            <charset val="238"/>
          </rPr>
          <t>Felhasználó:</t>
        </r>
        <r>
          <rPr>
            <sz val="9"/>
            <color indexed="81"/>
            <rFont val="Segoe UI"/>
            <family val="2"/>
            <charset val="238"/>
          </rPr>
          <t xml:space="preserve">
1010:2024.évi elszámolás pótigény
10.000: Martonvásárért Alapítvány LEADER visszafiz
1247: 2024.évi önk projektek fel nem használt rész visszafiz
32609: RRF bölcsi 3.részszámla FA megtérülés
146788: REKI támogatás 
63500:KOSZISZ vagyoni jog értékesítése
21169:80% fordított ÁFA megtérülése</t>
        </r>
      </text>
    </comment>
    <comment ref="F73" authorId="0" shapeId="0" xr:uid="{00000000-0006-0000-0D00-00001E000000}">
      <text>
        <r>
          <rPr>
            <b/>
            <sz val="9"/>
            <color indexed="81"/>
            <rFont val="Segoe UI"/>
            <family val="2"/>
            <charset val="238"/>
          </rPr>
          <t>Felhasználó:</t>
        </r>
        <r>
          <rPr>
            <sz val="9"/>
            <color indexed="81"/>
            <rFont val="Segoe UI"/>
            <family val="2"/>
            <charset val="238"/>
          </rPr>
          <t xml:space="preserve">
III.mód:
11: MV.3013/1hrsz. Eljárási díj
68:MV.1017,1715/11,12 hrsz. eljárási díj
4487: TKT normatíva elszámolás 
1143:földgáz közbesz.díj
10300: Brunszvik emlékév támogatása
8000: Embertársainjért Alapítvány támogatása
4064: MV 1715/11,12.hrsz.telek vásárlása
134:MV.1352/1 földrészlet megosztási díja
10:ig.szolg.díj
317:Műv.iskola áramhlózat leválasztása
9:felíratozó szalag
79: KIF csatlakozási díj
406:közbesz díj
18:szelektív kuka
38:határrendezés
55:késedelmi kamat
100:Beethoven 7.hulladék száll.
11:jelzálogjog törlése
155:állatbefogás
180:telek megosztás
3:vázrajz újrazáradékolása
572:kosárlabda palánk szerelése
42:eljárási díj
310:ügyvédi munkadíj
165:akadálymentesítés
248:adatvédelmi szolg.
381:vízhálózat fertőtlenítés</t>
        </r>
      </text>
    </comment>
    <comment ref="F75" authorId="0" shapeId="0" xr:uid="{00000000-0006-0000-0D00-00001F000000}">
      <text>
        <r>
          <rPr>
            <b/>
            <sz val="9"/>
            <color indexed="81"/>
            <rFont val="Segoe UI"/>
            <family val="2"/>
            <charset val="238"/>
          </rPr>
          <t>Felhasználó:</t>
        </r>
        <r>
          <rPr>
            <sz val="9"/>
            <color indexed="81"/>
            <rFont val="Segoe UI"/>
            <family val="2"/>
            <charset val="238"/>
          </rPr>
          <t xml:space="preserve">
3000:e-építési napló rendszerhasznákati díj</t>
        </r>
      </text>
    </comment>
    <comment ref="F81" authorId="0" shapeId="0" xr:uid="{00000000-0006-0000-0D00-000020000000}">
      <text>
        <r>
          <rPr>
            <b/>
            <sz val="9"/>
            <color indexed="81"/>
            <rFont val="Segoe UI"/>
            <family val="2"/>
            <charset val="238"/>
          </rPr>
          <t>Felhasználó:</t>
        </r>
        <r>
          <rPr>
            <sz val="9"/>
            <color indexed="81"/>
            <rFont val="Segoe UI"/>
            <family val="2"/>
            <charset val="238"/>
          </rPr>
          <t xml:space="preserve">
1777: műszaki ellenőr
385:projekt menedzser
1524:közbesz díj eszk.beszerzés
13645:klímakód 80%
31228:klímakód 100%
29688:fordított ÁFA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100-000001000000}">
      <text>
        <r>
          <rPr>
            <sz val="10"/>
            <color rgb="FF000000"/>
            <rFont val="Tahoma"/>
            <family val="2"/>
            <charset val="238"/>
          </rPr>
          <t xml:space="preserve">Mezőőri hozzájárulás a gazdáktól+intézmény saját bevétele + TKT!
</t>
        </r>
      </text>
    </comment>
    <comment ref="D10" authorId="0" shapeId="0" xr:uid="{00000000-0006-0000-0100-000002000000}">
      <text>
        <r>
          <rPr>
            <sz val="10"/>
            <color rgb="FF000000"/>
            <rFont val="Tahoma"/>
            <family val="2"/>
            <charset val="238"/>
          </rPr>
          <t xml:space="preserve">Összes egyéb bevétel:  működési bevételek, bérleti díjak, továbbszáml. szolg., stb.
</t>
        </r>
      </text>
    </comment>
    <comment ref="B12" authorId="0" shapeId="0" xr:uid="{00000000-0006-0000-01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100-000004000000}">
      <text>
        <r>
          <rPr>
            <sz val="10"/>
            <color rgb="FF000000"/>
            <rFont val="Tahoma"/>
            <family val="2"/>
            <charset val="238"/>
          </rPr>
          <t xml:space="preserve">Összes egyéb támogatás:
</t>
        </r>
      </text>
    </comment>
    <comment ref="D12" authorId="0" shapeId="0" xr:uid="{00000000-0006-0000-0100-000005000000}">
      <text>
        <r>
          <rPr>
            <sz val="10"/>
            <color rgb="FF000000"/>
            <rFont val="Tahoma"/>
            <family val="2"/>
            <charset val="238"/>
          </rPr>
          <t xml:space="preserve">működési célú átvett pe.
</t>
        </r>
      </text>
    </comment>
    <comment ref="H13" authorId="0" shapeId="0" xr:uid="{00000000-0006-0000-0100-000006000000}">
      <text>
        <r>
          <rPr>
            <sz val="10"/>
            <color rgb="FF000000"/>
            <rFont val="Tahoma"/>
            <family val="2"/>
            <charset val="238"/>
          </rPr>
          <t xml:space="preserve">Fizetendő Áfa
</t>
        </r>
      </text>
    </comment>
    <comment ref="B24" authorId="0" shapeId="0" xr:uid="{00000000-0006-0000-01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1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100-000009000000}">
      <text>
        <r>
          <rPr>
            <sz val="10"/>
            <color rgb="FF000000"/>
            <rFont val="Tahoma"/>
            <family val="2"/>
            <charset val="238"/>
          </rPr>
          <t xml:space="preserve">Járási hivatal működtetése
</t>
        </r>
      </text>
    </comment>
    <comment ref="J58" authorId="0" shapeId="0" xr:uid="{00000000-0006-0000-01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100-00000B000000}">
      <text>
        <r>
          <rPr>
            <sz val="10"/>
            <color rgb="FF000000"/>
            <rFont val="Tahoma"/>
            <family val="2"/>
            <charset val="238"/>
          </rPr>
          <t xml:space="preserve">A korábbi évek felhalmozása a maradvány felosztásakor jelenik meg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200-000001000000}">
      <text>
        <r>
          <rPr>
            <sz val="10"/>
            <color rgb="FF000000"/>
            <rFont val="Tahoma"/>
            <family val="2"/>
            <charset val="238"/>
          </rPr>
          <t xml:space="preserve">Mezőőri hozzájárulás a gazdáktól+intézmény saját bevétele + TKT!
</t>
        </r>
      </text>
    </comment>
    <comment ref="D10" authorId="0" shapeId="0" xr:uid="{00000000-0006-0000-0200-000002000000}">
      <text>
        <r>
          <rPr>
            <sz val="10"/>
            <color rgb="FF000000"/>
            <rFont val="Tahoma"/>
            <family val="2"/>
            <charset val="238"/>
          </rPr>
          <t xml:space="preserve">Összes egyéb bevétel:  működési bevételek, bérleti díjak, továbbszáml. szolg., stb.
</t>
        </r>
      </text>
    </comment>
    <comment ref="B12" authorId="0" shapeId="0" xr:uid="{00000000-0006-0000-02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200-000004000000}">
      <text>
        <r>
          <rPr>
            <sz val="10"/>
            <color rgb="FF000000"/>
            <rFont val="Tahoma"/>
            <family val="2"/>
            <charset val="238"/>
          </rPr>
          <t xml:space="preserve">Összes egyéb támogatás:
</t>
        </r>
      </text>
    </comment>
    <comment ref="D12" authorId="0" shapeId="0" xr:uid="{00000000-0006-0000-0200-000005000000}">
      <text>
        <r>
          <rPr>
            <sz val="10"/>
            <color rgb="FF000000"/>
            <rFont val="Tahoma"/>
            <family val="2"/>
            <charset val="238"/>
          </rPr>
          <t xml:space="preserve">működési célú átvett pe.
</t>
        </r>
      </text>
    </comment>
    <comment ref="H13" authorId="0" shapeId="0" xr:uid="{00000000-0006-0000-0200-000006000000}">
      <text>
        <r>
          <rPr>
            <sz val="10"/>
            <color rgb="FF000000"/>
            <rFont val="Tahoma"/>
            <family val="2"/>
            <charset val="238"/>
          </rPr>
          <t xml:space="preserve">Fizetendő Áfa
</t>
        </r>
      </text>
    </comment>
    <comment ref="B24" authorId="0" shapeId="0" xr:uid="{00000000-0006-0000-02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2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200-000009000000}">
      <text>
        <r>
          <rPr>
            <sz val="10"/>
            <color rgb="FF000000"/>
            <rFont val="Tahoma"/>
            <family val="2"/>
            <charset val="238"/>
          </rPr>
          <t xml:space="preserve">Járási hivatal működtetése
</t>
        </r>
      </text>
    </comment>
    <comment ref="J58" authorId="0" shapeId="0" xr:uid="{00000000-0006-0000-02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200-00000B000000}">
      <text>
        <r>
          <rPr>
            <sz val="10"/>
            <color rgb="FF000000"/>
            <rFont val="Tahoma"/>
            <family val="2"/>
            <charset val="238"/>
          </rPr>
          <t xml:space="preserve">A korábbi évek felhalmozása a maradvány felosztásakor jelenik meg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300-000001000000}">
      <text>
        <r>
          <rPr>
            <sz val="10"/>
            <color rgb="FF000000"/>
            <rFont val="Tahoma"/>
            <family val="2"/>
            <charset val="238"/>
          </rPr>
          <t xml:space="preserve">Mezőőri hozzájárulás a gazdáktól+intézmény saját bevétele + TKT!
</t>
        </r>
      </text>
    </comment>
    <comment ref="D10" authorId="0" shapeId="0" xr:uid="{00000000-0006-0000-0300-000002000000}">
      <text>
        <r>
          <rPr>
            <sz val="10"/>
            <color rgb="FF000000"/>
            <rFont val="Tahoma"/>
            <family val="2"/>
            <charset val="238"/>
          </rPr>
          <t xml:space="preserve">Összes egyéb bevétel:  működési bevételek, bérleti díjak, továbbszáml. szolg., stb.
</t>
        </r>
      </text>
    </comment>
    <comment ref="B12" authorId="0" shapeId="0" xr:uid="{00000000-0006-0000-03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300-000004000000}">
      <text>
        <r>
          <rPr>
            <sz val="10"/>
            <color rgb="FF000000"/>
            <rFont val="Tahoma"/>
            <family val="2"/>
            <charset val="238"/>
          </rPr>
          <t xml:space="preserve">Összes egyéb támogatás:
</t>
        </r>
      </text>
    </comment>
    <comment ref="D12" authorId="0" shapeId="0" xr:uid="{00000000-0006-0000-0300-000005000000}">
      <text>
        <r>
          <rPr>
            <sz val="10"/>
            <color rgb="FF000000"/>
            <rFont val="Tahoma"/>
            <family val="2"/>
            <charset val="238"/>
          </rPr>
          <t xml:space="preserve">működési célú átvett pe.
</t>
        </r>
      </text>
    </comment>
    <comment ref="H13" authorId="0" shapeId="0" xr:uid="{00000000-0006-0000-0300-000006000000}">
      <text>
        <r>
          <rPr>
            <sz val="10"/>
            <color rgb="FF000000"/>
            <rFont val="Tahoma"/>
            <family val="2"/>
            <charset val="238"/>
          </rPr>
          <t xml:space="preserve">Fizetendő Áfa
</t>
        </r>
      </text>
    </comment>
    <comment ref="B24" authorId="0" shapeId="0" xr:uid="{00000000-0006-0000-03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3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300-000009000000}">
      <text>
        <r>
          <rPr>
            <sz val="10"/>
            <color rgb="FF000000"/>
            <rFont val="Tahoma"/>
            <family val="2"/>
            <charset val="238"/>
          </rPr>
          <t xml:space="preserve">Járási hivatal működtetése
</t>
        </r>
      </text>
    </comment>
    <comment ref="J58" authorId="0" shapeId="0" xr:uid="{00000000-0006-0000-03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300-00000B000000}">
      <text>
        <r>
          <rPr>
            <sz val="10"/>
            <color rgb="FF000000"/>
            <rFont val="Tahoma"/>
            <family val="2"/>
            <charset val="238"/>
          </rPr>
          <t xml:space="preserve">A korábbi évek felhalmozása a maradvány felosztásakor jelenik meg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Felhasználó</author>
  </authors>
  <commentList>
    <comment ref="D9" authorId="0" shapeId="0" xr:uid="{00000000-0006-0000-0400-000001000000}">
      <text>
        <r>
          <rPr>
            <sz val="10"/>
            <color rgb="FF000000"/>
            <rFont val="Tahoma"/>
            <family val="2"/>
            <charset val="238"/>
          </rPr>
          <t xml:space="preserve">Mezőőri hozzájárulás a gazdáktól+intézmény saját bevétele + TKT!
</t>
        </r>
      </text>
    </comment>
    <comment ref="D10" authorId="0" shapeId="0" xr:uid="{00000000-0006-0000-0400-000002000000}">
      <text>
        <r>
          <rPr>
            <sz val="10"/>
            <color rgb="FF000000"/>
            <rFont val="Tahoma"/>
            <family val="2"/>
            <charset val="238"/>
          </rPr>
          <t xml:space="preserve">Összes egyéb bevétel:  működési bevételek, bérleti díjak, továbbszáml. szolg., stb.
</t>
        </r>
      </text>
    </comment>
    <comment ref="B12" authorId="0" shapeId="0" xr:uid="{00000000-0006-0000-04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400-000004000000}">
      <text>
        <r>
          <rPr>
            <sz val="10"/>
            <color rgb="FF000000"/>
            <rFont val="Tahoma"/>
            <family val="2"/>
            <charset val="238"/>
          </rPr>
          <t xml:space="preserve">Összes egyéb támogatás:
</t>
        </r>
      </text>
    </comment>
    <comment ref="D12" authorId="0" shapeId="0" xr:uid="{00000000-0006-0000-0400-000005000000}">
      <text>
        <r>
          <rPr>
            <sz val="10"/>
            <color rgb="FF000000"/>
            <rFont val="Tahoma"/>
            <family val="2"/>
            <charset val="238"/>
          </rPr>
          <t xml:space="preserve">működési célú átvett pe.
</t>
        </r>
      </text>
    </comment>
    <comment ref="H13" authorId="0" shapeId="0" xr:uid="{00000000-0006-0000-0400-000006000000}">
      <text>
        <r>
          <rPr>
            <sz val="10"/>
            <color rgb="FF000000"/>
            <rFont val="Tahoma"/>
            <family val="2"/>
            <charset val="238"/>
          </rPr>
          <t xml:space="preserve">Fizetendő Áfa
</t>
        </r>
      </text>
    </comment>
    <comment ref="D18" authorId="1" shapeId="0" xr:uid="{00000000-0006-0000-0400-000007000000}">
      <text>
        <r>
          <rPr>
            <b/>
            <sz val="9"/>
            <color indexed="81"/>
            <rFont val="Segoe UI"/>
            <family val="2"/>
            <charset val="238"/>
          </rPr>
          <t>Felhasználó:</t>
        </r>
        <r>
          <rPr>
            <sz val="9"/>
            <color indexed="81"/>
            <rFont val="Segoe UI"/>
            <family val="2"/>
            <charset val="238"/>
          </rPr>
          <t xml:space="preserve">
PM élel.tart</t>
        </r>
      </text>
    </comment>
    <comment ref="B24" authorId="0" shapeId="0" xr:uid="{00000000-0006-0000-0400-00000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400-000009000000}">
      <text>
        <r>
          <rPr>
            <sz val="10"/>
            <color rgb="FF000000"/>
            <rFont val="Tahoma"/>
            <family val="2"/>
            <charset val="238"/>
          </rPr>
          <t>Vállalkozási célú tevékenység eredménye (5819E Ft) a Városüzemeltetési iroda költségeire fordítva</t>
        </r>
      </text>
    </comment>
    <comment ref="B25" authorId="0" shapeId="0" xr:uid="{00000000-0006-0000-0400-00000A000000}">
      <text>
        <r>
          <rPr>
            <sz val="10"/>
            <color rgb="FF000000"/>
            <rFont val="Tahoma"/>
            <family val="2"/>
            <charset val="238"/>
          </rPr>
          <t xml:space="preserve">Járási hivatal működtetése
</t>
        </r>
      </text>
    </comment>
    <comment ref="J58" authorId="0" shapeId="0" xr:uid="{00000000-0006-0000-0400-00000B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400-00000C000000}">
      <text>
        <r>
          <rPr>
            <sz val="10"/>
            <color rgb="FF000000"/>
            <rFont val="Tahoma"/>
            <family val="2"/>
            <charset val="238"/>
          </rPr>
          <t xml:space="preserve">A korábbi évek felhalmozása a maradvány felosztásakor jelenik meg
</t>
        </r>
      </text>
    </comment>
    <comment ref="D76" authorId="1" shapeId="0" xr:uid="{00000000-0006-0000-0400-00000D000000}">
      <text>
        <r>
          <rPr>
            <b/>
            <sz val="9"/>
            <color indexed="81"/>
            <rFont val="Segoe UI"/>
            <family val="2"/>
            <charset val="238"/>
          </rPr>
          <t>Felhasználó:</t>
        </r>
        <r>
          <rPr>
            <sz val="9"/>
            <color indexed="81"/>
            <rFont val="Segoe UI"/>
            <family val="2"/>
            <charset val="238"/>
          </rPr>
          <t xml:space="preserve">
2023.évi szabad maradvány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s>
  <commentList>
    <comment ref="B9" authorId="0" shapeId="0" xr:uid="{00000000-0006-0000-0500-000001000000}">
      <text>
        <r>
          <rPr>
            <b/>
            <sz val="9"/>
            <color indexed="81"/>
            <rFont val="Segoe UI"/>
            <family val="2"/>
            <charset val="238"/>
          </rPr>
          <t>Felhasználó:</t>
        </r>
        <r>
          <rPr>
            <sz val="9"/>
            <color indexed="81"/>
            <rFont val="Segoe UI"/>
            <family val="2"/>
            <charset val="238"/>
          </rPr>
          <t xml:space="preserve">
Mezőőri hozzájárulás a gazdáktól+intézmény saját bevétele + TKT</t>
        </r>
      </text>
    </comment>
    <comment ref="D9" authorId="1" shapeId="0" xr:uid="{00000000-0006-0000-0500-000002000000}">
      <text>
        <r>
          <rPr>
            <sz val="10"/>
            <color rgb="FF000000"/>
            <rFont val="Tahoma"/>
            <family val="2"/>
            <charset val="238"/>
          </rPr>
          <t xml:space="preserve">I.mód: anyakönyvvezetők díja + jár. 310 E Ft, telefon továbbsz. 500 E Ft
</t>
        </r>
      </text>
    </comment>
    <comment ref="H9" authorId="0" shapeId="0" xr:uid="{00000000-0006-0000-0500-000003000000}">
      <text>
        <r>
          <rPr>
            <b/>
            <sz val="9"/>
            <color indexed="81"/>
            <rFont val="Segoe UI"/>
            <family val="2"/>
            <charset val="238"/>
          </rPr>
          <t>Felhasználó:</t>
        </r>
        <r>
          <rPr>
            <sz val="9"/>
            <color indexed="81"/>
            <rFont val="Segoe UI"/>
            <family val="2"/>
            <charset val="238"/>
          </rPr>
          <t xml:space="preserve">
I.mód. Személyi jell 1744 e Ft, +74 E Ft járulék, 500 E Ft telefon</t>
        </r>
      </text>
    </comment>
    <comment ref="D10" authorId="1" shapeId="0" xr:uid="{00000000-0006-0000-0500-000004000000}">
      <text>
        <r>
          <rPr>
            <sz val="10"/>
            <color rgb="FF000000"/>
            <rFont val="Tahoma"/>
            <family val="2"/>
            <charset val="238"/>
          </rPr>
          <t xml:space="preserve">Összes egyéb bevétel:  működési bevételek, bérleti díjak, továbbszáml. szolg., stb.
</t>
        </r>
      </text>
    </comment>
    <comment ref="B12" authorId="1" shapeId="0" xr:uid="{00000000-0006-0000-0500-000005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500-000006000000}">
      <text>
        <r>
          <rPr>
            <sz val="10"/>
            <color rgb="FF000000"/>
            <rFont val="Tahoma"/>
            <family val="2"/>
            <charset val="238"/>
          </rPr>
          <t xml:space="preserve">Összes egyéb támogatás:
</t>
        </r>
      </text>
    </comment>
    <comment ref="D12" authorId="1" shapeId="0" xr:uid="{00000000-0006-0000-0500-000007000000}">
      <text>
        <r>
          <rPr>
            <sz val="10"/>
            <color rgb="FF000000"/>
            <rFont val="Tahoma"/>
            <family val="2"/>
            <charset val="238"/>
          </rPr>
          <t xml:space="preserve">működési célú átvett pe.
</t>
        </r>
      </text>
    </comment>
    <comment ref="H12" authorId="0" shapeId="0" xr:uid="{00000000-0006-0000-0500-000008000000}">
      <text>
        <r>
          <rPr>
            <b/>
            <sz val="9"/>
            <color indexed="81"/>
            <rFont val="Segoe UI"/>
            <family val="2"/>
            <charset val="238"/>
          </rPr>
          <t>Felhasználó:</t>
        </r>
        <r>
          <rPr>
            <sz val="9"/>
            <color indexed="81"/>
            <rFont val="Segoe UI"/>
            <family val="2"/>
            <charset val="238"/>
          </rPr>
          <t xml:space="preserve">
I.mód:200 E ft repi ajándék, Fro.utazás ktg. 437 EFt</t>
        </r>
      </text>
    </comment>
    <comment ref="H13" authorId="1" shapeId="0" xr:uid="{00000000-0006-0000-0500-000009000000}">
      <text>
        <r>
          <rPr>
            <sz val="10"/>
            <color rgb="FF000000"/>
            <rFont val="Tahoma"/>
            <family val="2"/>
            <charset val="238"/>
          </rPr>
          <t xml:space="preserve">Fizetendő Áfa
</t>
        </r>
      </text>
    </comment>
    <comment ref="H14" authorId="0" shapeId="0" xr:uid="{00000000-0006-0000-0500-00000A000000}">
      <text>
        <r>
          <rPr>
            <b/>
            <sz val="9"/>
            <color indexed="81"/>
            <rFont val="Segoe UI"/>
            <family val="2"/>
            <charset val="238"/>
          </rPr>
          <t>Felhasználó:</t>
        </r>
        <r>
          <rPr>
            <sz val="9"/>
            <color indexed="81"/>
            <rFont val="Segoe UI"/>
            <family val="2"/>
            <charset val="238"/>
          </rPr>
          <t xml:space="preserve">
I.mód:2023.évi normatíva visszafizetés</t>
        </r>
      </text>
    </comment>
    <comment ref="D16" authorId="0" shapeId="0" xr:uid="{00000000-0006-0000-0500-00000B000000}">
      <text>
        <r>
          <rPr>
            <b/>
            <sz val="9"/>
            <color indexed="81"/>
            <rFont val="Segoe UI"/>
            <family val="2"/>
            <charset val="238"/>
          </rPr>
          <t>Felhasználó:</t>
        </r>
        <r>
          <rPr>
            <sz val="9"/>
            <color indexed="81"/>
            <rFont val="Segoe UI"/>
            <family val="2"/>
            <charset val="238"/>
          </rPr>
          <t xml:space="preserve">
2023.évi maradvány  terhére 5.000 Eft a bérek rendezéséhez, + köt.terhelt áthúzódó kiadások</t>
        </r>
      </text>
    </comment>
    <comment ref="H16" authorId="0" shapeId="0" xr:uid="{00000000-0006-0000-0500-00000C000000}">
      <text>
        <r>
          <rPr>
            <b/>
            <sz val="9"/>
            <color indexed="81"/>
            <rFont val="Segoe UI"/>
            <family val="2"/>
            <charset val="238"/>
          </rPr>
          <t>Felhasználó:</t>
        </r>
        <r>
          <rPr>
            <sz val="9"/>
            <color indexed="81"/>
            <rFont val="Segoe UI"/>
            <family val="2"/>
            <charset val="238"/>
          </rPr>
          <t xml:space="preserve">
</t>
        </r>
      </text>
    </comment>
    <comment ref="D18" authorId="0" shapeId="0" xr:uid="{00000000-0006-0000-0500-00000D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500-00000E000000}">
      <text>
        <r>
          <rPr>
            <b/>
            <sz val="9"/>
            <color indexed="81"/>
            <rFont val="Segoe UI"/>
            <family val="2"/>
            <charset val="238"/>
          </rPr>
          <t>Felhasználó:</t>
        </r>
        <r>
          <rPr>
            <sz val="9"/>
            <color indexed="81"/>
            <rFont val="Segoe UI"/>
            <family val="2"/>
            <charset val="238"/>
          </rPr>
          <t xml:space="preserve">
I. mód: 390 E Ft Klik részére iskolavezetői képzésre tám.</t>
        </r>
      </text>
    </comment>
    <comment ref="B24" authorId="1" shapeId="0" xr:uid="{00000000-0006-0000-0500-00000F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500-000010000000}">
      <text>
        <r>
          <rPr>
            <sz val="10"/>
            <color rgb="FF000000"/>
            <rFont val="Tahoma"/>
            <family val="2"/>
            <charset val="238"/>
          </rPr>
          <t>Vállalkozási célú tevékenység eredménye (5819E Ft) a Városüzemeltetési iroda költségeire fordítva</t>
        </r>
      </text>
    </comment>
    <comment ref="B25" authorId="1" shapeId="0" xr:uid="{00000000-0006-0000-0500-000011000000}">
      <text>
        <r>
          <rPr>
            <sz val="10"/>
            <color rgb="FF000000"/>
            <rFont val="Tahoma"/>
            <family val="2"/>
            <charset val="238"/>
          </rPr>
          <t xml:space="preserve">Járási hivatal működtetése
</t>
        </r>
      </text>
    </comment>
    <comment ref="C33" authorId="0" shapeId="0" xr:uid="{00000000-0006-0000-0500-000012000000}">
      <text>
        <r>
          <rPr>
            <b/>
            <sz val="9"/>
            <color indexed="81"/>
            <rFont val="Segoe UI"/>
            <family val="2"/>
            <charset val="238"/>
          </rPr>
          <t>Felhasználó:</t>
        </r>
        <r>
          <rPr>
            <sz val="9"/>
            <color indexed="81"/>
            <rFont val="Segoe UI"/>
            <family val="2"/>
            <charset val="238"/>
          </rPr>
          <t xml:space="preserve">
I.mód szoc.ágazati pótlék bevétel 12034 eFt</t>
        </r>
      </text>
    </comment>
    <comment ref="H33" authorId="0" shapeId="0" xr:uid="{00000000-0006-0000-0500-000013000000}">
      <text>
        <r>
          <rPr>
            <b/>
            <sz val="9"/>
            <color indexed="81"/>
            <rFont val="Segoe UI"/>
            <family val="2"/>
            <charset val="238"/>
          </rPr>
          <t>Felhasználó:</t>
        </r>
        <r>
          <rPr>
            <sz val="9"/>
            <color indexed="81"/>
            <rFont val="Segoe UI"/>
            <family val="2"/>
            <charset val="238"/>
          </rPr>
          <t xml:space="preserve">
I.mód 12034 E Ft szoc.ágazati pótlék kiadás</t>
        </r>
      </text>
    </comment>
    <comment ref="D36" authorId="0" shapeId="0" xr:uid="{00000000-0006-0000-0500-000014000000}">
      <text>
        <r>
          <rPr>
            <b/>
            <sz val="9"/>
            <color indexed="81"/>
            <rFont val="Segoe UI"/>
            <family val="2"/>
            <charset val="238"/>
          </rPr>
          <t>Felhasználó:</t>
        </r>
        <r>
          <rPr>
            <sz val="9"/>
            <color indexed="81"/>
            <rFont val="Segoe UI"/>
            <family val="2"/>
            <charset val="238"/>
          </rPr>
          <t xml:space="preserve">
I.mód:1016 E Ft plusz fin.béremelés miatt</t>
        </r>
      </text>
    </comment>
    <comment ref="H36" authorId="0" shapeId="0" xr:uid="{00000000-0006-0000-0500-000015000000}">
      <text>
        <r>
          <rPr>
            <b/>
            <sz val="9"/>
            <color indexed="81"/>
            <rFont val="Segoe UI"/>
            <family val="2"/>
            <charset val="238"/>
          </rPr>
          <t>Felhasználó:</t>
        </r>
        <r>
          <rPr>
            <sz val="9"/>
            <color indexed="81"/>
            <rFont val="Segoe UI"/>
            <family val="2"/>
            <charset val="238"/>
          </rPr>
          <t xml:space="preserve">
1016 EFT plusz fin.béremelésre</t>
        </r>
      </text>
    </comment>
    <comment ref="H53" authorId="0" shapeId="0" xr:uid="{00000000-0006-0000-0500-000016000000}">
      <text>
        <r>
          <rPr>
            <b/>
            <sz val="9"/>
            <color indexed="81"/>
            <rFont val="Segoe UI"/>
            <family val="2"/>
            <charset val="238"/>
          </rPr>
          <t>Felhasználó:</t>
        </r>
        <r>
          <rPr>
            <sz val="9"/>
            <color indexed="81"/>
            <rFont val="Segoe UI"/>
            <family val="2"/>
            <charset val="238"/>
          </rPr>
          <t xml:space="preserve">
I.mód:1980 Eft kermester bére</t>
        </r>
      </text>
    </comment>
    <comment ref="J58" authorId="1" shapeId="0" xr:uid="{00000000-0006-0000-0500-000017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500-000018000000}">
      <text>
        <r>
          <rPr>
            <b/>
            <sz val="9"/>
            <color indexed="81"/>
            <rFont val="Segoe UI"/>
            <family val="2"/>
            <charset val="238"/>
          </rPr>
          <t>Felhasználó:</t>
        </r>
        <r>
          <rPr>
            <sz val="9"/>
            <color indexed="81"/>
            <rFont val="Segoe UI"/>
            <family val="2"/>
            <charset val="238"/>
          </rPr>
          <t xml:space="preserve">
TKT 2023.évi önkormányzati hozzájárulás visszafizetése</t>
        </r>
      </text>
    </comment>
    <comment ref="F67" authorId="0" shapeId="0" xr:uid="{00000000-0006-0000-0500-000019000000}">
      <text>
        <r>
          <rPr>
            <b/>
            <sz val="9"/>
            <color indexed="81"/>
            <rFont val="Segoe UI"/>
            <family val="2"/>
            <charset val="238"/>
          </rPr>
          <t>Felhasználó:</t>
        </r>
        <r>
          <rPr>
            <sz val="9"/>
            <color indexed="81"/>
            <rFont val="Segoe UI"/>
            <family val="2"/>
            <charset val="238"/>
          </rPr>
          <t xml:space="preserve">
I.mód:Ovi kirándilás tám.350 Eft</t>
        </r>
      </text>
    </comment>
    <comment ref="D68" authorId="1" shapeId="0" xr:uid="{00000000-0006-0000-0500-00001A000000}">
      <text>
        <r>
          <rPr>
            <sz val="10"/>
            <color rgb="FF000000"/>
            <rFont val="Tahoma"/>
            <family val="2"/>
            <charset val="238"/>
          </rPr>
          <t xml:space="preserve">A korábbi évek felhalmozása a maradvány felosztásakor jelenik meg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Felhasználó</author>
  </authors>
  <commentList>
    <comment ref="D9" authorId="0" shapeId="0" xr:uid="{00000000-0006-0000-0600-000001000000}">
      <text>
        <r>
          <rPr>
            <sz val="10"/>
            <color rgb="FF000000"/>
            <rFont val="Tahoma"/>
            <family val="2"/>
            <charset val="238"/>
          </rPr>
          <t xml:space="preserve">Mezőőri hozzájárulás a gazdáktól+intézmény saját bevétele + TKT!
</t>
        </r>
      </text>
    </comment>
    <comment ref="D10" authorId="0" shapeId="0" xr:uid="{00000000-0006-0000-0600-000002000000}">
      <text>
        <r>
          <rPr>
            <sz val="10"/>
            <color rgb="FF000000"/>
            <rFont val="Tahoma"/>
            <family val="2"/>
            <charset val="238"/>
          </rPr>
          <t xml:space="preserve">Összes egyéb bevétel:  működési bevételek, bérleti díjak, továbbszáml. szolg., stb.
</t>
        </r>
      </text>
    </comment>
    <comment ref="B12" authorId="0" shapeId="0" xr:uid="{00000000-0006-0000-06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600-000004000000}">
      <text>
        <r>
          <rPr>
            <sz val="10"/>
            <color rgb="FF000000"/>
            <rFont val="Tahoma"/>
            <family val="2"/>
            <charset val="238"/>
          </rPr>
          <t xml:space="preserve">Összes egyéb támogatás:
</t>
        </r>
      </text>
    </comment>
    <comment ref="D12" authorId="0" shapeId="0" xr:uid="{00000000-0006-0000-0600-000005000000}">
      <text>
        <r>
          <rPr>
            <sz val="10"/>
            <color rgb="FF000000"/>
            <rFont val="Tahoma"/>
            <family val="2"/>
            <charset val="238"/>
          </rPr>
          <t xml:space="preserve">működési célú átvett pe.
</t>
        </r>
      </text>
    </comment>
    <comment ref="H13" authorId="0" shapeId="0" xr:uid="{00000000-0006-0000-0600-000006000000}">
      <text>
        <r>
          <rPr>
            <sz val="10"/>
            <color rgb="FF000000"/>
            <rFont val="Tahoma"/>
            <family val="2"/>
            <charset val="238"/>
          </rPr>
          <t xml:space="preserve">Fizetendő Áfa
</t>
        </r>
      </text>
    </comment>
    <comment ref="D18" authorId="1" shapeId="0" xr:uid="{00000000-0006-0000-0600-000007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B24" authorId="0" shapeId="0" xr:uid="{00000000-0006-0000-0600-00000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600-000009000000}">
      <text>
        <r>
          <rPr>
            <sz val="10"/>
            <color rgb="FF000000"/>
            <rFont val="Tahoma"/>
            <family val="2"/>
            <charset val="238"/>
          </rPr>
          <t>Vállalkozási célú tevékenység eredménye (5819E Ft) a Városüzemeltetési iroda költségeire fordítva</t>
        </r>
      </text>
    </comment>
    <comment ref="B25" authorId="0" shapeId="0" xr:uid="{00000000-0006-0000-0600-00000A000000}">
      <text>
        <r>
          <rPr>
            <sz val="10"/>
            <color rgb="FF000000"/>
            <rFont val="Tahoma"/>
            <family val="2"/>
            <charset val="238"/>
          </rPr>
          <t xml:space="preserve">Járási hivatal működtetése
</t>
        </r>
      </text>
    </comment>
    <comment ref="J58" authorId="0" shapeId="0" xr:uid="{00000000-0006-0000-0600-00000B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600-00000C000000}">
      <text>
        <r>
          <rPr>
            <sz val="10"/>
            <color rgb="FF000000"/>
            <rFont val="Tahoma"/>
            <family val="2"/>
            <charset val="238"/>
          </rPr>
          <t xml:space="preserve">A korábbi évek felhalmozása a maradvány felosztásakor jelenik meg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7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t>
        </r>
      </text>
    </comment>
    <comment ref="D9" authorId="1" shapeId="0" xr:uid="{00000000-0006-0000-0700-000002000000}">
      <text>
        <r>
          <rPr>
            <sz val="10"/>
            <color rgb="FF000000"/>
            <rFont val="Tahoma"/>
            <family val="2"/>
            <charset val="238"/>
          </rPr>
          <t xml:space="preserve">2023.évi áthúzódó kötelezettségek miatt maradvány igénybevétele 1508 FT, 310 E fT anyakönyvvezetők díj bevétel, 500 E Ft közvetített szolg. bevétele.
</t>
        </r>
      </text>
    </comment>
    <comment ref="H9" authorId="2" shapeId="0" xr:uid="{00000000-0006-0000-0700-000003000000}">
      <text>
        <r>
          <rPr>
            <b/>
            <sz val="9"/>
            <color indexed="81"/>
            <rFont val="Segoe UI"/>
            <family val="2"/>
            <charset val="238"/>
          </rPr>
          <t>Felhasználó:</t>
        </r>
        <r>
          <rPr>
            <sz val="9"/>
            <color indexed="81"/>
            <rFont val="Segoe UI"/>
            <family val="2"/>
            <charset val="238"/>
          </rPr>
          <t xml:space="preserve">
áthúzódó személyi kiadások (maradványból) 1508 E Ft, telefon ktg.500 E Ft, 236+74 E Ft anyakönyvvezetői díj</t>
        </r>
      </text>
    </comment>
    <comment ref="D10" authorId="1" shapeId="0" xr:uid="{00000000-0006-0000-0700-000004000000}">
      <text>
        <r>
          <rPr>
            <sz val="10"/>
            <color rgb="FF000000"/>
            <rFont val="Tahoma"/>
            <family val="2"/>
            <charset val="238"/>
          </rPr>
          <t xml:space="preserve">Összes egyéb bevétel:  működési bevételek, bérleti díjak, továbbszáml. szolg., stb.
</t>
        </r>
      </text>
    </comment>
    <comment ref="F10" authorId="0" shapeId="0" xr:uid="{00000000-0006-0000-07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H10" authorId="2" shapeId="0" xr:uid="{00000000-0006-0000-0700-000006000000}">
      <text>
        <r>
          <rPr>
            <b/>
            <sz val="9"/>
            <color indexed="81"/>
            <rFont val="Segoe UI"/>
            <family val="2"/>
            <charset val="238"/>
          </rPr>
          <t>Felhasználó:</t>
        </r>
        <r>
          <rPr>
            <sz val="9"/>
            <color indexed="81"/>
            <rFont val="Segoe UI"/>
            <family val="2"/>
            <charset val="238"/>
          </rPr>
          <t xml:space="preserve">
Saint Averteni utazás 437 E Ft, reprezentatív ajándék 200 E Ft ált.tart.terhére</t>
        </r>
      </text>
    </comment>
    <comment ref="B12" authorId="1" shapeId="0" xr:uid="{00000000-0006-0000-07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700-000008000000}">
      <text>
        <r>
          <rPr>
            <sz val="10"/>
            <color rgb="FF000000"/>
            <rFont val="Tahoma"/>
            <family val="2"/>
            <charset val="238"/>
          </rPr>
          <t xml:space="preserve">Összes egyéb támogatás:
</t>
        </r>
      </text>
    </comment>
    <comment ref="D12" authorId="1" shapeId="0" xr:uid="{00000000-0006-0000-0700-000009000000}">
      <text>
        <r>
          <rPr>
            <sz val="10"/>
            <color rgb="FF000000"/>
            <rFont val="Tahoma"/>
            <family val="2"/>
            <charset val="238"/>
          </rPr>
          <t>működési célú átvett pe.
MAZSIHISZ</t>
        </r>
      </text>
    </comment>
    <comment ref="H13" authorId="1" shapeId="0" xr:uid="{00000000-0006-0000-0700-00000A000000}">
      <text>
        <r>
          <rPr>
            <sz val="10"/>
            <color rgb="FF000000"/>
            <rFont val="Tahoma"/>
            <family val="2"/>
            <charset val="238"/>
          </rPr>
          <t xml:space="preserve">Fizetendő Áfa
</t>
        </r>
      </text>
    </comment>
    <comment ref="D16" authorId="0" shapeId="0" xr:uid="{00000000-0006-0000-07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H16" authorId="0" shapeId="0" xr:uid="{00000000-0006-0000-0700-00000C000000}">
      <text>
        <r>
          <rPr>
            <b/>
            <sz val="9"/>
            <color indexed="81"/>
            <rFont val="Tahoma"/>
            <family val="2"/>
            <charset val="238"/>
          </rPr>
          <t>KonyvtarLaptop4:</t>
        </r>
        <r>
          <rPr>
            <sz val="9"/>
            <color indexed="81"/>
            <rFont val="Tahoma"/>
            <family val="2"/>
            <charset val="238"/>
          </rPr>
          <t xml:space="preserve">
5000 E FT személyi kiadás  2024 évi ped.bér rendezéshez, áthúzódó kiadás 392 Eft,,350 EFT óvodai kirándulás</t>
        </r>
      </text>
    </comment>
    <comment ref="D18" authorId="2" shapeId="0" xr:uid="{00000000-0006-0000-0700-00000D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700-00000E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700-00000F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700-000010000000}">
      <text>
        <r>
          <rPr>
            <sz val="10"/>
            <color rgb="FF000000"/>
            <rFont val="Tahoma"/>
            <family val="2"/>
            <charset val="238"/>
          </rPr>
          <t>Vállalkozási célú tevékenység eredménye (5819E Ft) a Városüzemeltetési iroda költségeire fordítva</t>
        </r>
      </text>
    </comment>
    <comment ref="B25" authorId="1" shapeId="0" xr:uid="{00000000-0006-0000-0700-000011000000}">
      <text>
        <r>
          <rPr>
            <sz val="10"/>
            <color rgb="FF000000"/>
            <rFont val="Tahoma"/>
            <family val="2"/>
            <charset val="238"/>
          </rPr>
          <t xml:space="preserve">Járási hivatal működtetése
</t>
        </r>
      </text>
    </comment>
    <comment ref="C33" authorId="0" shapeId="0" xr:uid="{00000000-0006-0000-0700-000012000000}">
      <text>
        <r>
          <rPr>
            <b/>
            <sz val="9"/>
            <color indexed="81"/>
            <rFont val="Tahoma"/>
            <family val="2"/>
            <charset val="238"/>
          </rPr>
          <t>KonyvtarLaptop4:</t>
        </r>
        <r>
          <rPr>
            <sz val="9"/>
            <color indexed="81"/>
            <rFont val="Tahoma"/>
            <family val="2"/>
            <charset val="238"/>
          </rPr>
          <t xml:space="preserve">
12043 E Ft szoci.ágazati pótlék bev.</t>
        </r>
      </text>
    </comment>
    <comment ref="H33" authorId="0" shapeId="0" xr:uid="{00000000-0006-0000-0700-000013000000}">
      <text>
        <r>
          <rPr>
            <b/>
            <sz val="9"/>
            <color indexed="81"/>
            <rFont val="Tahoma"/>
            <family val="2"/>
            <charset val="238"/>
          </rPr>
          <t>KonyvtarLaptop4:</t>
        </r>
        <r>
          <rPr>
            <sz val="9"/>
            <color indexed="81"/>
            <rFont val="Tahoma"/>
            <family val="2"/>
            <charset val="238"/>
          </rPr>
          <t xml:space="preserve">
12043 E Ft szoc.ágazati pótlék kiadása</t>
        </r>
      </text>
    </comment>
    <comment ref="D36" authorId="0" shapeId="0" xr:uid="{00000000-0006-0000-0700-000014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700-000015000000}">
      <text>
        <r>
          <rPr>
            <b/>
            <sz val="9"/>
            <color indexed="81"/>
            <rFont val="Tahoma"/>
            <family val="2"/>
            <charset val="238"/>
          </rPr>
          <t>KonyvtarLaptop4:</t>
        </r>
        <r>
          <rPr>
            <sz val="9"/>
            <color indexed="81"/>
            <rFont val="Tahoma"/>
            <family val="2"/>
            <charset val="238"/>
          </rPr>
          <t xml:space="preserve">
1016 E Ft béremelés kiadás</t>
        </r>
      </text>
    </comment>
    <comment ref="H53" authorId="2" shapeId="0" xr:uid="{00000000-0006-0000-0700-000016000000}">
      <text>
        <r>
          <rPr>
            <b/>
            <sz val="9"/>
            <color indexed="81"/>
            <rFont val="Segoe UI"/>
            <family val="2"/>
            <charset val="238"/>
          </rPr>
          <t>Felhasználó:</t>
        </r>
        <r>
          <rPr>
            <sz val="9"/>
            <color indexed="81"/>
            <rFont val="Segoe UI"/>
            <family val="2"/>
            <charset val="238"/>
          </rPr>
          <t xml:space="preserve">
kermester díjára 1980 E Ft ált.tartalék terhére</t>
        </r>
      </text>
    </comment>
    <comment ref="J58" authorId="1" shapeId="0" xr:uid="{00000000-0006-0000-0700-000017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700-000018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700-000019000000}">
      <text>
        <r>
          <rPr>
            <b/>
            <sz val="9"/>
            <color indexed="81"/>
            <rFont val="Tahoma"/>
            <family val="2"/>
            <charset val="238"/>
          </rPr>
          <t>KonyvtarLaptop4:</t>
        </r>
        <r>
          <rPr>
            <sz val="9"/>
            <color indexed="81"/>
            <rFont val="Tahoma"/>
            <family val="2"/>
            <charset val="238"/>
          </rPr>
          <t xml:space="preserve">
390 EFT KLIK képzés, 1980 Eft karmesteri díj, 437 utazás ktg.,350 Eft óvoda kirándulás,200 Eft repr.ajándék</t>
        </r>
      </text>
    </comment>
    <comment ref="D68" authorId="1" shapeId="0" xr:uid="{00000000-0006-0000-0700-00001A000000}">
      <text>
        <r>
          <rPr>
            <sz val="10"/>
            <color rgb="FF000000"/>
            <rFont val="Tahoma"/>
            <family val="2"/>
            <charset val="238"/>
          </rPr>
          <t xml:space="preserve">A korábbi évek felhalmozása a maradvány felosztásakor jelenik meg
</t>
        </r>
      </text>
    </comment>
    <comment ref="C69" authorId="0" shapeId="0" xr:uid="{00000000-0006-0000-0700-00001B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700-00001C000000}">
      <text>
        <r>
          <rPr>
            <b/>
            <sz val="9"/>
            <color indexed="81"/>
            <rFont val="Segoe UI"/>
            <family val="2"/>
            <charset val="238"/>
          </rPr>
          <t>Felhasználó:</t>
        </r>
        <r>
          <rPr>
            <sz val="9"/>
            <color indexed="81"/>
            <rFont val="Segoe UI"/>
            <family val="2"/>
            <charset val="238"/>
          </rPr>
          <t xml:space="preserve">
285092 E Ft szabad maradvány, 153 EFT fel nem használt LEADER visszafiz,4972 E Ft a szabad intézményi maradvány , 4045 E Ft normatíva visszafiz (1396 EFT TKT,2001 EFT Ovi maradvány, 648 élelmezési tart.nyújt fedezetet)</t>
        </r>
      </text>
    </comment>
    <comment ref="D70" authorId="0" shapeId="0" xr:uid="{00000000-0006-0000-0700-00001D000000}">
      <text>
        <r>
          <rPr>
            <b/>
            <sz val="9"/>
            <color indexed="81"/>
            <rFont val="Tahoma"/>
            <family val="2"/>
            <charset val="238"/>
          </rPr>
          <t>KonyvtarLaptop4:</t>
        </r>
        <r>
          <rPr>
            <sz val="9"/>
            <color indexed="81"/>
            <rFont val="Tahoma"/>
            <family val="2"/>
            <charset val="238"/>
          </rPr>
          <t xml:space="preserve">
Mirrotron bev.</t>
        </r>
      </text>
    </comment>
    <comment ref="F73" authorId="0" shapeId="0" xr:uid="{00000000-0006-0000-0700-00001E000000}">
      <text>
        <r>
          <rPr>
            <b/>
            <sz val="9"/>
            <color indexed="81"/>
            <rFont val="Tahoma"/>
            <family val="2"/>
            <charset val="238"/>
          </rPr>
          <t>KonyvtarLaptop4:</t>
        </r>
        <r>
          <rPr>
            <sz val="9"/>
            <color indexed="81"/>
            <rFont val="Tahoma"/>
            <family val="2"/>
            <charset val="238"/>
          </rPr>
          <t xml:space="preserve">
ing.vásárlás 8000 EFT,313 Eft jármű elszáll,171 EFTföldhiv.elj.díj,114 EFTmegvílágítás mérése, 129 Eft ft telek rendezés,500 Eft műszaki ell.lift,914 Eft fakitermelés,1905 Eft elszál,feldolg,110 Eft ig.szolg díjak,406 EFT változási vázrajz készítés,1536 EFT mérőhelyn kialak.,400 EFT főépítészi feladat ell.,300 EFt kártalanítási megelőlegezés, 4972 EFt intézményi szabad maradvány, 4045 EFt 2023. évi normatíva elsz.adódó visszafiz.,91 EFt régészeti díj, -20000 EFt MVK részére átadott összeg karbantartásra, beruházásra a 250 M keretből</t>
        </r>
      </text>
    </comment>
    <comment ref="F74" authorId="0" shapeId="0" xr:uid="{00000000-0006-0000-0700-00001F000000}">
      <text>
        <r>
          <rPr>
            <b/>
            <sz val="9"/>
            <color indexed="81"/>
            <rFont val="Tahoma"/>
            <family val="2"/>
            <charset val="238"/>
          </rPr>
          <t>KonyvtarLaptop4:</t>
        </r>
        <r>
          <rPr>
            <sz val="9"/>
            <color indexed="81"/>
            <rFont val="Tahoma"/>
            <family val="2"/>
            <charset val="238"/>
          </rPr>
          <t xml:space="preserve">
MVK részére szerz.szerint 20000 E Ft karbantartásra,beruh.átadott pénz a 250 M keretből</t>
        </r>
      </text>
    </comment>
    <comment ref="F75" authorId="0" shapeId="0" xr:uid="{00000000-0006-0000-0700-000020000000}">
      <text>
        <r>
          <rPr>
            <b/>
            <sz val="9"/>
            <color indexed="81"/>
            <rFont val="Tahoma"/>
            <family val="2"/>
            <charset val="238"/>
          </rPr>
          <t>KonyvtarLaptop4:</t>
        </r>
        <r>
          <rPr>
            <sz val="9"/>
            <color indexed="81"/>
            <rFont val="Tahoma"/>
            <family val="2"/>
            <charset val="238"/>
          </rPr>
          <t xml:space="preserve">
328 EFT vegyszeradagoló,5992 Eft szíivattyú, 739 Eft fűtőpanel beszerzés</t>
        </r>
      </text>
    </comment>
    <comment ref="F78" authorId="0" shapeId="0" xr:uid="{00000000-0006-0000-0700-000021000000}">
      <text>
        <r>
          <rPr>
            <b/>
            <sz val="9"/>
            <color indexed="81"/>
            <rFont val="Tahoma"/>
            <family val="2"/>
            <charset val="238"/>
          </rPr>
          <t xml:space="preserve">KonyvtarLaptop4: </t>
        </r>
        <r>
          <rPr>
            <sz val="9"/>
            <color indexed="81"/>
            <rFont val="Tahoma"/>
            <family val="2"/>
            <charset val="238"/>
          </rPr>
          <t xml:space="preserve">
MV Alapítvány 12474E Ft Leader támogatás, 281 E Ft MV.Kult.Egyesület támogtása</t>
        </r>
      </text>
    </comment>
    <comment ref="F80" authorId="0" shapeId="0" xr:uid="{00000000-0006-0000-0700-000022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700-000023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700-000024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8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
Választásra kapott támogatás</t>
        </r>
      </text>
    </comment>
    <comment ref="D9" authorId="1" shapeId="0" xr:uid="{00000000-0006-0000-0800-000002000000}">
      <text>
        <r>
          <rPr>
            <sz val="10"/>
            <color rgb="FF000000"/>
            <rFont val="Tahoma"/>
            <family val="2"/>
            <charset val="238"/>
          </rPr>
          <t xml:space="preserve">2024.II.:467 E Ft anyakönyvvezetői díjak bevétele
</t>
        </r>
      </text>
    </comment>
    <comment ref="H9" authorId="2" shapeId="0" xr:uid="{00000000-0006-0000-0800-000003000000}">
      <text>
        <r>
          <rPr>
            <sz val="9"/>
            <color indexed="81"/>
            <rFont val="Segoe UI"/>
            <family val="2"/>
            <charset val="238"/>
          </rPr>
          <t>2024.II: 413+53 E FT anyakönyvvezetői díj, 1350+175 E Ft személyi illetmény emelése, választási kiadások 3346 EFT, 1000 Eft választás saját forrás,irattartó szekrény</t>
        </r>
      </text>
    </comment>
    <comment ref="D10" authorId="1" shapeId="0" xr:uid="{00000000-0006-0000-0800-000004000000}">
      <text>
        <r>
          <rPr>
            <sz val="10"/>
            <color rgb="FF000000"/>
            <rFont val="Tahoma"/>
            <family val="2"/>
            <charset val="238"/>
          </rPr>
          <t xml:space="preserve">Összes egyéb bevétel:  működési bevételek, bérleti díjak, továbbszáml. szolg., stb.
</t>
        </r>
      </text>
    </comment>
    <comment ref="F10" authorId="0" shapeId="0" xr:uid="{00000000-0006-0000-08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H10" authorId="2" shapeId="0" xr:uid="{00000000-0006-0000-0800-000006000000}">
      <text>
        <r>
          <rPr>
            <b/>
            <sz val="9"/>
            <color indexed="81"/>
            <rFont val="Segoe UI"/>
            <family val="2"/>
            <charset val="238"/>
          </rPr>
          <t>Felhasználó:</t>
        </r>
        <r>
          <rPr>
            <sz val="9"/>
            <color indexed="81"/>
            <rFont val="Segoe UI"/>
            <family val="2"/>
            <charset val="238"/>
          </rPr>
          <t xml:space="preserve">
2024.II:880 EFT tüdőszűrés, 68 Eft bölcsi alapkő letétel ktg.,</t>
        </r>
      </text>
    </comment>
    <comment ref="B12" authorId="1" shapeId="0" xr:uid="{00000000-0006-0000-08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800-000008000000}">
      <text>
        <r>
          <rPr>
            <sz val="10"/>
            <color rgb="FF000000"/>
            <rFont val="Tahoma"/>
            <family val="2"/>
            <charset val="238"/>
          </rPr>
          <t xml:space="preserve">Összes egyéb támogatás:
</t>
        </r>
      </text>
    </comment>
    <comment ref="D12" authorId="1" shapeId="0" xr:uid="{00000000-0006-0000-0800-000009000000}">
      <text>
        <r>
          <rPr>
            <sz val="10"/>
            <color rgb="FF000000"/>
            <rFont val="Tahoma"/>
            <family val="2"/>
            <charset val="238"/>
          </rPr>
          <t>működési célú átvett pe.
MAZSIHISZ</t>
        </r>
      </text>
    </comment>
    <comment ref="H13" authorId="1" shapeId="0" xr:uid="{00000000-0006-0000-0800-00000A000000}">
      <text>
        <r>
          <rPr>
            <sz val="10"/>
            <color rgb="FF000000"/>
            <rFont val="Tahoma"/>
            <family val="2"/>
            <charset val="238"/>
          </rPr>
          <t xml:space="preserve">Fizetendő Áfa
</t>
        </r>
      </text>
    </comment>
    <comment ref="D16" authorId="0" shapeId="0" xr:uid="{00000000-0006-0000-08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D18" authorId="2" shapeId="0" xr:uid="{00000000-0006-0000-0800-00000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800-00000D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800-00000E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800-00000F000000}">
      <text>
        <r>
          <rPr>
            <sz val="10"/>
            <color rgb="FF000000"/>
            <rFont val="Tahoma"/>
            <family val="2"/>
            <charset val="238"/>
          </rPr>
          <t>Vállalkozási célú tevékenység eredménye (5819E Ft) a Városüzemeltetési iroda költségeire fordítva</t>
        </r>
      </text>
    </comment>
    <comment ref="B25" authorId="1" shapeId="0" xr:uid="{00000000-0006-0000-0800-000010000000}">
      <text>
        <r>
          <rPr>
            <sz val="10"/>
            <color rgb="FF000000"/>
            <rFont val="Tahoma"/>
            <family val="2"/>
            <charset val="238"/>
          </rPr>
          <t xml:space="preserve">Járási hivatal működtetése
</t>
        </r>
      </text>
    </comment>
    <comment ref="C33" authorId="0" shapeId="0" xr:uid="{00000000-0006-0000-0800-000011000000}">
      <text>
        <r>
          <rPr>
            <b/>
            <sz val="9"/>
            <color indexed="81"/>
            <rFont val="Tahoma"/>
            <family val="2"/>
            <charset val="238"/>
          </rPr>
          <t>KonyvtarLaptop4:</t>
        </r>
        <r>
          <rPr>
            <sz val="9"/>
            <color indexed="81"/>
            <rFont val="Tahoma"/>
            <family val="2"/>
            <charset val="238"/>
          </rPr>
          <t xml:space="preserve">
12043 E Ft szoci.ágazati pótlék bev.
2024.II: 6513 Eft szoc.ágazati pótlék</t>
        </r>
      </text>
    </comment>
    <comment ref="H33" authorId="0" shapeId="0" xr:uid="{00000000-0006-0000-0800-000012000000}">
      <text>
        <r>
          <rPr>
            <b/>
            <sz val="9"/>
            <color indexed="81"/>
            <rFont val="Tahoma"/>
            <family val="2"/>
            <charset val="238"/>
          </rPr>
          <t>KonyvtarLaptop4:</t>
        </r>
        <r>
          <rPr>
            <sz val="9"/>
            <color indexed="81"/>
            <rFont val="Tahoma"/>
            <family val="2"/>
            <charset val="238"/>
          </rPr>
          <t xml:space="preserve">
2024.II: 6513 Eft szoc.ágazati pótlék</t>
        </r>
      </text>
    </comment>
    <comment ref="D36" authorId="0" shapeId="0" xr:uid="{00000000-0006-0000-0800-000013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800-000014000000}">
      <text>
        <r>
          <rPr>
            <b/>
            <sz val="9"/>
            <color indexed="81"/>
            <rFont val="Tahoma"/>
            <family val="2"/>
            <charset val="238"/>
          </rPr>
          <t>KonyvtarLaptop4:</t>
        </r>
        <r>
          <rPr>
            <sz val="9"/>
            <color indexed="81"/>
            <rFont val="Tahoma"/>
            <family val="2"/>
            <charset val="238"/>
          </rPr>
          <t xml:space="preserve">
1016 E Ft béremelés kiadás</t>
        </r>
      </text>
    </comment>
    <comment ref="H53" authorId="2" shapeId="0" xr:uid="{00000000-0006-0000-0800-000015000000}">
      <text>
        <r>
          <rPr>
            <b/>
            <sz val="9"/>
            <color indexed="81"/>
            <rFont val="Segoe UI"/>
            <family val="2"/>
            <charset val="238"/>
          </rPr>
          <t>Felhasználó:</t>
        </r>
        <r>
          <rPr>
            <sz val="9"/>
            <color indexed="81"/>
            <rFont val="Segoe UI"/>
            <family val="2"/>
            <charset val="238"/>
          </rPr>
          <t xml:space="preserve">
kermester díjára 1980 E Ft ált.tartalék terhére</t>
        </r>
      </text>
    </comment>
    <comment ref="J58" authorId="1" shapeId="0" xr:uid="{00000000-0006-0000-0800-000016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800-000017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800-000018000000}">
      <text>
        <r>
          <rPr>
            <b/>
            <sz val="9"/>
            <color indexed="81"/>
            <rFont val="Tahoma"/>
            <family val="2"/>
            <charset val="238"/>
          </rPr>
          <t>KonyvtarLaptop4:</t>
        </r>
        <r>
          <rPr>
            <sz val="9"/>
            <color indexed="81"/>
            <rFont val="Tahoma"/>
            <family val="2"/>
            <charset val="238"/>
          </rPr>
          <t xml:space="preserve">
2024.II. 1525 E Ft személyi ill.PH,1000 Eft választás,irattartó szekrény, 880 Eft tüdőszűrő, 68 Eft bölcsi alapkő letételhez időkapszula
</t>
        </r>
      </text>
    </comment>
    <comment ref="D68" authorId="1" shapeId="0" xr:uid="{00000000-0006-0000-0800-000019000000}">
      <text>
        <r>
          <rPr>
            <sz val="10"/>
            <color rgb="FF000000"/>
            <rFont val="Tahoma"/>
            <family val="2"/>
            <charset val="238"/>
          </rPr>
          <t xml:space="preserve">A korábbi évek felhalmozása a maradvány felosztásakor jelenik meg
</t>
        </r>
      </text>
    </comment>
    <comment ref="C69" authorId="0" shapeId="0" xr:uid="{00000000-0006-0000-0800-00001A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800-00001B000000}">
      <text>
        <r>
          <rPr>
            <b/>
            <sz val="9"/>
            <color indexed="81"/>
            <rFont val="Segoe UI"/>
            <family val="2"/>
            <charset val="238"/>
          </rPr>
          <t>Felhasználó:</t>
        </r>
        <r>
          <rPr>
            <sz val="9"/>
            <color indexed="81"/>
            <rFont val="Segoe UI"/>
            <family val="2"/>
            <charset val="238"/>
          </rPr>
          <t xml:space="preserve">
II.név: 1022 Eft tul.hányad értékesítés
</t>
        </r>
      </text>
    </comment>
    <comment ref="D70" authorId="0" shapeId="0" xr:uid="{00000000-0006-0000-0800-00001C000000}">
      <text>
        <r>
          <rPr>
            <b/>
            <sz val="9"/>
            <color indexed="81"/>
            <rFont val="Tahoma"/>
            <family val="2"/>
            <charset val="238"/>
          </rPr>
          <t>KonyvtarLaptop4:</t>
        </r>
        <r>
          <rPr>
            <sz val="9"/>
            <color indexed="81"/>
            <rFont val="Tahoma"/>
            <family val="2"/>
            <charset val="238"/>
          </rPr>
          <t xml:space="preserve">
Mirrotron bev.</t>
        </r>
      </text>
    </comment>
    <comment ref="F73" authorId="0" shapeId="0" xr:uid="{00000000-0006-0000-0800-00001D000000}">
      <text>
        <r>
          <rPr>
            <b/>
            <sz val="9"/>
            <color indexed="81"/>
            <rFont val="Tahoma"/>
            <family val="2"/>
            <charset val="238"/>
          </rPr>
          <t>KonyvtarLaptop4:</t>
        </r>
        <r>
          <rPr>
            <sz val="9"/>
            <color indexed="81"/>
            <rFont val="Tahoma"/>
            <family val="2"/>
            <charset val="238"/>
          </rPr>
          <t xml:space="preserve">
2024.II: 15819 E Ft Egészségház felújítás fin.,229 EFt térfigyelő,133 EFt csőkamera,200 EFt szakértői letét,-64 eFt fakitermelési kül.visszavezetése, 38250 EFt nyomda ép.vásárlás
</t>
        </r>
      </text>
    </comment>
    <comment ref="F74" authorId="0" shapeId="0" xr:uid="{00000000-0006-0000-0800-00001E000000}">
      <text>
        <r>
          <rPr>
            <b/>
            <sz val="9"/>
            <color indexed="81"/>
            <rFont val="Tahoma"/>
            <family val="2"/>
            <charset val="238"/>
          </rPr>
          <t>KonyvtarLaptop4:</t>
        </r>
        <r>
          <rPr>
            <sz val="9"/>
            <color indexed="81"/>
            <rFont val="Tahoma"/>
            <family val="2"/>
            <charset val="238"/>
          </rPr>
          <t xml:space="preserve">
MVK részére szerz.szerint 20000 E Ft karbantartásra,beruh.átadott pénz a 250 M keretből</t>
        </r>
      </text>
    </comment>
    <comment ref="F75" authorId="0" shapeId="0" xr:uid="{00000000-0006-0000-0800-00001F000000}">
      <text>
        <r>
          <rPr>
            <b/>
            <sz val="9"/>
            <color indexed="81"/>
            <rFont val="Tahoma"/>
            <family val="2"/>
            <charset val="238"/>
          </rPr>
          <t>KonyvtarLaptop4:</t>
        </r>
        <r>
          <rPr>
            <sz val="9"/>
            <color indexed="81"/>
            <rFont val="Tahoma"/>
            <family val="2"/>
            <charset val="238"/>
          </rPr>
          <t xml:space="preserve">
</t>
        </r>
      </text>
    </comment>
    <comment ref="F78" authorId="0" shapeId="0" xr:uid="{00000000-0006-0000-0800-000020000000}">
      <text>
        <r>
          <rPr>
            <b/>
            <sz val="9"/>
            <color indexed="81"/>
            <rFont val="Tahoma"/>
            <family val="2"/>
            <charset val="238"/>
          </rPr>
          <t>KonyvtarLaptop4:</t>
        </r>
        <r>
          <rPr>
            <sz val="9"/>
            <color indexed="81"/>
            <rFont val="Tahoma"/>
            <family val="2"/>
            <charset val="238"/>
          </rPr>
          <t xml:space="preserve">
2024.II: 9856 E Ft MV Fúvószenei Egyesület tám.,1197 Eft Film Mindenkinek tám.kieg.
</t>
        </r>
      </text>
    </comment>
    <comment ref="F80" authorId="0" shapeId="0" xr:uid="{00000000-0006-0000-0800-000021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800-000022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800-000023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sharedStrings.xml><?xml version="1.0" encoding="utf-8"?>
<sst xmlns="http://schemas.openxmlformats.org/spreadsheetml/2006/main" count="3091" uniqueCount="198">
  <si>
    <t>EGYÉB</t>
  </si>
  <si>
    <t>BEVÉTELEK</t>
  </si>
  <si>
    <r>
      <t>FEJEZET</t>
    </r>
    <r>
      <rPr>
        <sz val="10"/>
        <color theme="1"/>
        <rFont val="Arial"/>
        <family val="2"/>
      </rPr>
      <t> / FELADAT</t>
    </r>
  </si>
  <si>
    <t>ÁLLAMI TÁMOGATÁS </t>
  </si>
  <si>
    <t>ÖNK. ÉS SZERVEI</t>
  </si>
  <si>
    <t>MVK KIADÁSOK</t>
  </si>
  <si>
    <t>MVK-NAK ÁTADOTT/ SZÁMLÁS </t>
  </si>
  <si>
    <t>ÖNKORMÁNYZATI BEVÉTELEK</t>
  </si>
  <si>
    <t>ÖNKORMÁNYZATI KIADÁSOK</t>
  </si>
  <si>
    <t>Vállalkozói adók</t>
  </si>
  <si>
    <t>Lakossági adó</t>
  </si>
  <si>
    <t>I./ VÁROSIGAZGATÁS ÉS HELYI DEMOKRÁCIA</t>
  </si>
  <si>
    <t>II./ EGYÉB ÖNKORMÁNYZATI FELADATOK</t>
  </si>
  <si>
    <t>III./ OKTATÁS, NEVELÉS, GYERMEKÉTKEZTETÉS</t>
  </si>
  <si>
    <t>V./ KÖZLEKEDÉS, KÖZVILÁGÍTÁS</t>
  </si>
  <si>
    <t>VI./ SZOCIÁLIS ELLÁTÁS ÉS TÁMOGATÁS</t>
  </si>
  <si>
    <t>VII./ EGÉSZSÉGÜGYI ALAPELLÁTÁS</t>
  </si>
  <si>
    <t>VIII./ KULTÚRA</t>
  </si>
  <si>
    <t>IX./ CIVIL KÖZÖSSÉGEK, TÁMOGATÁSOK</t>
  </si>
  <si>
    <t>Egyéb</t>
  </si>
  <si>
    <t>FOGALOM-MEGHAT.</t>
  </si>
  <si>
    <t>EGYÉB, INTÉZMÉNYI</t>
  </si>
  <si>
    <t xml:space="preserve"> FELHASZNÁLT SAJÁT BEVÉTEL TÍPUSA</t>
  </si>
  <si>
    <t xml:space="preserve"> ÖSSZESEN</t>
  </si>
  <si>
    <t>ÖNKORMÁNYZATI "MŰKÖDÉSI KÖLTSÉGVETÉS" (EZER FT)</t>
  </si>
  <si>
    <t>Bölcsőde - RRF</t>
  </si>
  <si>
    <t>Csapadékvizes - TOP</t>
  </si>
  <si>
    <t>Vízhálózat - KEHOP</t>
  </si>
  <si>
    <t>Lakossági és Vállalkozói adók</t>
  </si>
  <si>
    <t>FELHASZNÁLT SAJÁT BEVÉTEL</t>
  </si>
  <si>
    <t>"MŰKÖDÉSI KÖLTSÉGVETÉS" MINDÖSSZESEN:</t>
  </si>
  <si>
    <t>6./ Pótlékok, bírságok</t>
  </si>
  <si>
    <t>SAJÁT KÖZHATALMI BEVÉTELEK ÁTTEKINTÉSE ("HELYI ADÓK")</t>
  </si>
  <si>
    <t>"MŰKÖDÉSI KÖLTSÉGVETÉS" (EZER FT)</t>
  </si>
  <si>
    <t>"FEJLESZTÉSI KÖLTSÉGVETÉS":</t>
  </si>
  <si>
    <t>Lakossági adó - az oktatásért</t>
  </si>
  <si>
    <t>Vállalkozói adók és Egyéb</t>
  </si>
  <si>
    <t>ADÓTÍPUS HIÁNYA/ TÖBBLETE</t>
  </si>
  <si>
    <t>IV./ KÖZTERÜLETEK ÉS LÉTESÍTMÉNYEK ÜZEMELTETÉSE</t>
  </si>
  <si>
    <t>"MŰKÖDÉSI KÖLTSÉGVETÉSBEN" SZÜKSÉGES</t>
  </si>
  <si>
    <t>Vállalkozói adók (Kül.: Telekadó)</t>
  </si>
  <si>
    <t>Vállalkozói adók (HIPA)</t>
  </si>
  <si>
    <t>XI./ TARTALÉKOK</t>
  </si>
  <si>
    <t>MARTONVÁSÁR VÁROS KÖLTSÉGVETÉSE MINDÖSSZESEN</t>
  </si>
  <si>
    <t>XII./SAJÁT PROJEKTEK ÉVEN BELÜL (ÁFÁVAL)</t>
  </si>
  <si>
    <t>TARTALÉKOK, KIADÁSOK</t>
  </si>
  <si>
    <t>A számviteli rendszerű költségvetésben - tehát a Képviselő-testület által elfogadandó-elfogadott rendeletben a működési költségvetés része az összes tartalék és a beruházások Áfája is. Azért, hogy a koncepciónál tisztább képet kapjunk, ezeket a tételeket a "Fejlesztési költségvetésben" szerepeltetjük!</t>
  </si>
  <si>
    <t>Fejérvíz csatorna-üzemeltetés - csökkentik a projektkiadások</t>
  </si>
  <si>
    <t>MEGJEGYZÉS</t>
  </si>
  <si>
    <t>TERVEZETT SAJÁT BEVÉTEL</t>
  </si>
  <si>
    <t>Váll.adók-csökkentik a máshova átkerülő kiadások - átvezetendő!</t>
  </si>
  <si>
    <t xml:space="preserve">Fejlesztési tartalék terhére </t>
  </si>
  <si>
    <t>Támogatott szervezetek önrész-finanszírozása beruházásokhoz</t>
  </si>
  <si>
    <t>TOVÁBBI ÉVEKBEN TERVEZETT FINAN-SZÍROZÁS (SAJÁT ÉS KÜLSŐ BEVÉTEL)</t>
  </si>
  <si>
    <t>KÖLTSÉGVETÉS MINDÖSSZESEN:</t>
  </si>
  <si>
    <t>SAJÁT PROJEKTEK ÉVEN BELÜL:</t>
  </si>
  <si>
    <t>"MŰKÖDÉSI KÖLTSÉGVETÉS":</t>
  </si>
  <si>
    <t>XIII./ NAGYOBB PROJEKTEK, PÁLYÁZATOK (ÁFÁVAL)</t>
  </si>
  <si>
    <t>TERVEZETT BEVÉTEL (GRAFIKON)</t>
  </si>
  <si>
    <t>RENDELKE-ZÉSRE ÁLL:</t>
  </si>
  <si>
    <t>NAGYOBB PROJEKTEK, PÁLYÁZATOK ADOTT ÉVBEN:</t>
  </si>
  <si>
    <t>Külterületi utak - VP</t>
  </si>
  <si>
    <t>Kisvárosi Programcsomag - BM</t>
  </si>
  <si>
    <t>SAJÁT KÖZHATALMI BEVÉTELEK MINDÖSSZESEN:</t>
  </si>
  <si>
    <t>ELŐZŐ ÉVEKBEN ELKÖLTÖTT PROJEKT-ÖSSZEGEK (TELJESÜLT KIADÁSOK!)</t>
  </si>
  <si>
    <t>A "LAKOSSÁGI ADÓ" FELHASZNÁLÁSÁRÓL</t>
  </si>
  <si>
    <t>I/1. Polgármesteri hivatal</t>
  </si>
  <si>
    <t>I/2. Képviselő-testület, városvezetés</t>
  </si>
  <si>
    <t>II/3. Szolidaritási hozzájárulás</t>
  </si>
  <si>
    <t>III/1. Brunszvik Teréz Óvoda</t>
  </si>
  <si>
    <t>III/2. Óvodai gyermekétkeztetés, óvodatej</t>
  </si>
  <si>
    <t>III/3.Iskolai gyermekétkeztetés  (Beethoven és Pápay)</t>
  </si>
  <si>
    <t>IV/1. Köztemető</t>
  </si>
  <si>
    <t>IV/2. Zöldterület-gazdálkodás, általános közterületek</t>
  </si>
  <si>
    <t>IV/3. Hulladékgazdálkodás</t>
  </si>
  <si>
    <t>IV/5. Nem önkormányzati épületüzemeltetés</t>
  </si>
  <si>
    <t>V/1. Helyi közösségi közlekedés</t>
  </si>
  <si>
    <t>V/2. Közutak fenntartása (út, járda üzemeltetés, hó- és síkosságmentesítés</t>
  </si>
  <si>
    <t>V/3. Közvilágítás</t>
  </si>
  <si>
    <t>VI/2. TKT-nak a Segítő Szolgálatra átadott forrás szociális állami támogatásból</t>
  </si>
  <si>
    <t>VI/ 4.Rászoruló gyermekek szünidei étkeztetése</t>
  </si>
  <si>
    <t>VII/1. Védőnői Szolgálat</t>
  </si>
  <si>
    <t>VII/2. Egészségház működtetése (védőnői helyiségekkel együtt)</t>
  </si>
  <si>
    <t>VII/3. Labor és egyéb eü.</t>
  </si>
  <si>
    <t>VII/4. Orvosi és fogorvosi ügyelet</t>
  </si>
  <si>
    <t>VIII/2. Alap rendezvénykeret</t>
  </si>
  <si>
    <t>VIII/3. Könyvtár, könyvtári állomány gyarapítás</t>
  </si>
  <si>
    <t>VIII/4. Óvodamúzeum</t>
  </si>
  <si>
    <t>IX/1. Helyi civil szervezetek támogatása</t>
  </si>
  <si>
    <t>IX/2. Védelmi szervezetek támogatása</t>
  </si>
  <si>
    <t>IX/3. Testvérvárosi kapcsolatok, egyéb támogatások, partnerségek</t>
  </si>
  <si>
    <t>IX/4. Civil állampolgári támogatások (díjak, szőlő, stb.)</t>
  </si>
  <si>
    <t>X/2. Sportközpont</t>
  </si>
  <si>
    <t>X/3. Martonsport utánpótlás támogatása</t>
  </si>
  <si>
    <t>X/4. Helyi sportszervezetek támogatása</t>
  </si>
  <si>
    <t>XI/1. Általános tartalék</t>
  </si>
  <si>
    <t>XI/2. Viziközmű céltartalék (Másra nem költhető el!</t>
  </si>
  <si>
    <t>XI/3. Egyéb tartalék</t>
  </si>
  <si>
    <t>XII/1. Önkormányzati projektek</t>
  </si>
  <si>
    <t>XII/3. Saját projektek a viziközmű-tartalék terhére</t>
  </si>
  <si>
    <t>XII/4. Kulturális projektek, kiemelt rendezvények</t>
  </si>
  <si>
    <t>II/1. Összes egyéb önkormányzati feladat és kiadás</t>
  </si>
  <si>
    <t>II/2. Áfa (Beruházások Áfája nélkül!)</t>
  </si>
  <si>
    <t>ÉVES ADÓ-SZÜKSÉGLET/ BEVÉTEL  EGYENLEGE</t>
  </si>
  <si>
    <t>TARTALÉKOK (ALAPVETŐEN KÖTÖTT FELHASZNÁLÁSSAL, KIVÉTEL: FEJLESZTÉSI CÉLTARTALÉK!):</t>
  </si>
  <si>
    <t>MARADVÁNY </t>
  </si>
  <si>
    <t>XII/2. Karbantartási, felújítási projektek (MVK)</t>
  </si>
  <si>
    <t>XI/4. Fejlesztési céltartalék (Egyéb: Ingatlanértékesítés, egyszeri bevétel, stb./ Saját: adótöbblet)</t>
  </si>
  <si>
    <t>1./ Építményadó - lakossági (korábban kommunális adó) + kommunális adó, települési adó hátralék</t>
  </si>
  <si>
    <t>2./ Építményadó - vállalkozói + hátralék</t>
  </si>
  <si>
    <t>5./ Talajterhelési díj + hátralék</t>
  </si>
  <si>
    <t>I./ VÁROSIGAZGATÁS ÉS HELYI DEMOKRÁCIA (1)</t>
  </si>
  <si>
    <t>II./ EGYÉB ÖNKORMÁNYZATI FELADATOK (2)</t>
  </si>
  <si>
    <t>III./ OKTATÁS, NEVELÉS, GYERMEKÉTKEZTETÉS (3)</t>
  </si>
  <si>
    <t>IV./ KÖZTERÜLETEK ÉS LÉTESÍTMÉNYEK ÜZEMELTETÉSE (4)</t>
  </si>
  <si>
    <t>V./ KÖZLEKEDÉS, KÖZVILÁGÍTÁS (5)</t>
  </si>
  <si>
    <t>VI./ SZOCIÁLIS ELLÁTÁS ÉS TÁMOGATÁS (6)</t>
  </si>
  <si>
    <t>VII./ EGÉSZSÉGÜGYI ALAPELLÁTÁS (7)</t>
  </si>
  <si>
    <t>VIII./ KULTÚRA (8)</t>
  </si>
  <si>
    <t>IX./ CIVIL KÖZÖSSÉGEK, TÁMOGATÁSOK (9)</t>
  </si>
  <si>
    <t>X./ SPORTFELADATOK ÉS SPORTSZERVEZETEK (10)</t>
  </si>
  <si>
    <t>I-X./ "MŰKŐDÉSI KÖLTSÉGVETÉS" (1)</t>
  </si>
  <si>
    <t>XI./ TARTALÉKOK (2)</t>
  </si>
  <si>
    <t>XII./SAJÁT PROJEKTEK ÉVEN BELÜL  (3)</t>
  </si>
  <si>
    <t>XIII./ TÁMOGATOTT PROJEKTEK, PÁLYÁZATOK (4)</t>
  </si>
  <si>
    <t>4./ Iparűzési adó + hátralék</t>
  </si>
  <si>
    <t xml:space="preserve">3./ Telekadó + hátralék </t>
  </si>
  <si>
    <t>IV/4. Önkormányzati épület- és létesítményüzemeltetés, kiemelt közterületek</t>
  </si>
  <si>
    <t>VI/3. TKT-nak a Segítő Szolgálat feladataira átadott állami támogatás (Bölcsődével, üzemeltetéssel)</t>
  </si>
  <si>
    <t>VIII/1. Kulturális Központ, közművelődés, helyi közösségek, tánc</t>
  </si>
  <si>
    <t>III/4. Iskolák (Beethoven Általános Iskola, Művészeti Iskola) működtetése</t>
  </si>
  <si>
    <t>PROJEKTEK, PÁLYÁZATOK (ÁFÁVAL) ↓</t>
  </si>
  <si>
    <t>TELJES TERVEZETT ÉVEKEN ÁTNYÚLÓ PROJEKT-ÖSSZEG</t>
  </si>
  <si>
    <t>VI/1. Szociális támogatások, tábor tám., tehetséges tanulók</t>
  </si>
  <si>
    <t xml:space="preserve"> SAJÁT BEVÉTELBŐL/ TARTALÉKBÓL</t>
  </si>
  <si>
    <t>Projektelőkészítés (TOP Plusz)</t>
  </si>
  <si>
    <r>
      <t>A MŰKÖDÉSI KÖLTSÉGVETÉS EGYENLEGE</t>
    </r>
    <r>
      <rPr>
        <sz val="10"/>
        <color theme="1"/>
        <rFont val="Arial"/>
        <family val="2"/>
      </rPr>
      <t xml:space="preserve"> (MEGFELELŐ ESETBEN "NULLA"</t>
    </r>
    <r>
      <rPr>
        <b/>
        <sz val="10"/>
        <color theme="1"/>
        <rFont val="Arial"/>
        <family val="2"/>
      </rPr>
      <t>):</t>
    </r>
  </si>
  <si>
    <r>
      <t xml:space="preserve">A </t>
    </r>
    <r>
      <rPr>
        <b/>
        <sz val="8"/>
        <color theme="1"/>
        <rFont val="Arial"/>
        <family val="2"/>
      </rPr>
      <t>"lakossági adó"</t>
    </r>
    <r>
      <rPr>
        <sz val="8"/>
        <color theme="1"/>
        <rFont val="Arial"/>
        <family val="2"/>
      </rPr>
      <t xml:space="preserve">, korábban kommunális adó, ma magánszemélyek lakások utáni építményadója - egyszerűen csak </t>
    </r>
    <r>
      <rPr>
        <b/>
        <sz val="8"/>
        <color theme="1"/>
        <rFont val="Arial"/>
        <family val="2"/>
      </rPr>
      <t>"közös költség"</t>
    </r>
    <r>
      <rPr>
        <sz val="8"/>
        <color theme="1"/>
        <rFont val="Arial"/>
        <family val="2"/>
      </rPr>
      <t xml:space="preserve">, a </t>
    </r>
    <r>
      <rPr>
        <b/>
        <sz val="8"/>
        <color theme="1"/>
        <rFont val="Arial"/>
        <family val="2"/>
      </rPr>
      <t>polgárok által közvetlenül igénybe vett szolgáltatások</t>
    </r>
    <r>
      <rPr>
        <sz val="8"/>
        <color theme="1"/>
        <rFont val="Arial"/>
        <family val="2"/>
      </rPr>
      <t xml:space="preserve"> állami támogatáson felüli részének fedezetéül szolgál: </t>
    </r>
    <r>
      <rPr>
        <b/>
        <sz val="8"/>
        <color theme="1"/>
        <rFont val="Arial"/>
        <family val="2"/>
      </rPr>
      <t>Oktatás és egészségügy témakörben: az óvoda fenntartására, az óvodai- és iskolai gyermekétkeztetésre és az egészségház fenntartási költségeire, városüzemeltetés témakörben pedig a köztemető fenntartására, a közvilágítás kiadásaira, valamint az út- és járdakarbantartásra</t>
    </r>
    <r>
      <rPr>
        <sz val="8"/>
        <color theme="1"/>
        <rFont val="Arial"/>
        <family val="2"/>
      </rPr>
      <t xml:space="preserve">. </t>
    </r>
  </si>
  <si>
    <t>Áfa különbözet az előző sor saját forrásigényét csökkenti! (beépítve)</t>
  </si>
  <si>
    <t>X/1. Sportcsarnok - a nap nagy részében az iskola fő tornaterme</t>
  </si>
  <si>
    <t>X./ SPORTFELADATOK ÉS SZERVEZETEK, ISKOLAI SPORT</t>
  </si>
  <si>
    <t>Balra: költségvetési kiadási főősszeg / Lent: éves bevételek-kiadások egyenlege: ha negatív, ekkora összeg hiámnyzik a kiadási főösszeg biztosításához, ha pozitív, beépült a fejlesztési céltartalékba!</t>
  </si>
  <si>
    <t>KÖLTSÉGVETÉS 2023. / EREDETI TERV 23</t>
  </si>
  <si>
    <t xml:space="preserve"> KÖLTSÉGVETÉS 2023.</t>
  </si>
  <si>
    <t>1. sz. diagram</t>
  </si>
  <si>
    <t>2. sz. diagram</t>
  </si>
  <si>
    <t>3. sz. diagram</t>
  </si>
  <si>
    <t>1/a. melléklet</t>
  </si>
  <si>
    <t>Ide kerül a plusz adóbevétel!</t>
  </si>
  <si>
    <t>A Fejlesztési céltartalék soron "Rendelkezésre álló" (!) összeg már csökkentésre került a következő projektsorok tervezett kiadásaival: Önkormányzati projektek és Karbantartási, felújítási projektek! A Viziközmű céltartalék bevételeit csökkentik a Saját projektek ennek terhére, a rendelkezésre álló összeg megállapításánál ezt már szintén levontuk!</t>
  </si>
  <si>
    <t>Csökkentik a máshova átkerülő kiadások - átvezetendő!</t>
  </si>
  <si>
    <t xml:space="preserve">Fejlesztési tartalék terhére lehetséges önerő, saját erő betervezése! </t>
  </si>
  <si>
    <t>Viziközmű céltartalék terhére - GFT alapján</t>
  </si>
  <si>
    <t>KÖZZÉTÉTELI KÖLTSÉGVETÉS</t>
  </si>
  <si>
    <t>KÖLTSÉGVETÉS 2023. / I. MÓDOSÍTÁS</t>
  </si>
  <si>
    <t xml:space="preserve"> I. MÓDOSÍTÁS 2023.</t>
  </si>
  <si>
    <t>Helyi identitás - TOP</t>
  </si>
  <si>
    <t>Támogatott projektek (MVK)</t>
  </si>
  <si>
    <t>KÖLTSÉGVETÉS 2023. / II. MÓDOSÍTÁS</t>
  </si>
  <si>
    <t xml:space="preserve"> II. MÓDOSÍTÁS 2023.</t>
  </si>
  <si>
    <t>KÖLTSÉGVETÉS 2023. / III. MÓDOSÍTÁS</t>
  </si>
  <si>
    <t xml:space="preserve"> III. MÓDOSÍTÁS 2023.</t>
  </si>
  <si>
    <t>KÖLTSÉGVETÉSI KONCEPCIÓ 2024. / EREDETI KONCEPCIÓ TERV 24</t>
  </si>
  <si>
    <t>KONCEPCIÓ 2024</t>
  </si>
  <si>
    <t>VII/1. Iskolai védőnői Szolgálat</t>
  </si>
  <si>
    <t>Fenntartható Városfejlesztés - TOP Plus</t>
  </si>
  <si>
    <t>II/3. Szolidaritási hozzájárulás, megelőlegezés</t>
  </si>
  <si>
    <t>Vállalkozói adók (Kül.: Telekadó, Építményadó)</t>
  </si>
  <si>
    <t>KÖLTSÉGVETÉS 2024. / EREDETI TERV 24</t>
  </si>
  <si>
    <t>KÖLTSÉGVETÉS 2024</t>
  </si>
  <si>
    <t>Vállalkozói adók +</t>
  </si>
  <si>
    <r>
      <t xml:space="preserve">A </t>
    </r>
    <r>
      <rPr>
        <b/>
        <sz val="10"/>
        <color theme="1"/>
        <rFont val="Arial"/>
        <family val="2"/>
      </rPr>
      <t>"lakossági adó"</t>
    </r>
    <r>
      <rPr>
        <sz val="10"/>
        <color theme="1"/>
        <rFont val="Arial"/>
        <family val="2"/>
      </rPr>
      <t xml:space="preserve">, korábban kommunális adó, ma magánszemélyek lakások utáni építményadója - egyszerűen csak </t>
    </r>
    <r>
      <rPr>
        <b/>
        <sz val="10"/>
        <color theme="1"/>
        <rFont val="Arial"/>
        <family val="2"/>
      </rPr>
      <t>"közös költség"</t>
    </r>
    <r>
      <rPr>
        <sz val="10"/>
        <color theme="1"/>
        <rFont val="Arial"/>
        <family val="2"/>
      </rPr>
      <t xml:space="preserve">, a következő feladatok állami támogatáson felüli részének fedezetéül szolgál: </t>
    </r>
    <r>
      <rPr>
        <b/>
        <sz val="10"/>
        <color theme="1"/>
        <rFont val="Arial"/>
        <family val="2"/>
      </rPr>
      <t>Oktatás és egészségügy, a városüzemeltetés témakörében a köztemető és a zöldterületek fenntartása, a közvilágítás kiadásai, valamint az út- és járdakarbantartás.</t>
    </r>
  </si>
  <si>
    <t xml:space="preserve"> Vállalkozói és Lakossági adók</t>
  </si>
  <si>
    <t>Lakossági adó - az egészségügyért</t>
  </si>
  <si>
    <t xml:space="preserve">KÖLTSÉGVETÉS 2024. / I.módosítás </t>
  </si>
  <si>
    <t>KÖLTSÉGVETÉS 2024. / I.módosítás</t>
  </si>
  <si>
    <t>Tartalék</t>
  </si>
  <si>
    <t>KÖLTSÉGVETÉS 2024. / II.módosítás</t>
  </si>
  <si>
    <t xml:space="preserve">KÖLTSÉGVETÉS 2024. / II.módosítás </t>
  </si>
  <si>
    <t>KÖLTSÉGVETÉS 2024. / III.módosítás</t>
  </si>
  <si>
    <t xml:space="preserve">KÖLTSÉGVETÉS 2024. / III.módosítás </t>
  </si>
  <si>
    <t>term.vásár?</t>
  </si>
  <si>
    <t>VII/4. Fogorvosi ügyelet</t>
  </si>
  <si>
    <t>VI/2. TKT-nak a Segítő Szolgálat feladataira átadott állami támogatás (Bölcsődével, üzemeltetéssel)</t>
  </si>
  <si>
    <t>Top-Plus FVS</t>
  </si>
  <si>
    <t>KONCEPCIÓ 2025</t>
  </si>
  <si>
    <t>Vállalkozói Adók</t>
  </si>
  <si>
    <t>IX/4. Civil közösségek, fiatalok, fórumok</t>
  </si>
  <si>
    <t>IX/3. Testvérvárosi és egyéb kapcsolatok, partnerségek</t>
  </si>
  <si>
    <t>III/2. Óvodai gyermekétkeztetés</t>
  </si>
  <si>
    <t>V/2. Közutak fenntartása (út, járda üzemeltetés, hó- és síkosságmentesítés)</t>
  </si>
  <si>
    <t>VI/1. Szociális támogatások (továbbá tábor, tehetséges fiatalok, rászoruló gyermekek szünidei étkeztetése</t>
  </si>
  <si>
    <t>Vállalkozói adók - különösen a telekadó</t>
  </si>
  <si>
    <t>II/4. Normatíva megelőlegezés</t>
  </si>
  <si>
    <t>VII/4.Mentőszolgálat, szakrendelés</t>
  </si>
  <si>
    <t>KAP-RD43-1-25 (Béke-Estike utca)</t>
  </si>
  <si>
    <t xml:space="preserve">KÖLTSÉGVETÉS 2025. /  KÖLTSÉGVETÉS I. MÓDOSÍTÁS </t>
  </si>
  <si>
    <t xml:space="preserve">KÖLTSÉGVETÉS 2025. /  KÖLTSÉGVETÉS II. MÓDOSÍTÁS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</si>
</sst>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F_t"/>
  </numFmts>
  <fonts count="58" x14ac:knownFonts="1">
    <font>
      <sz val="11"/>
      <color theme="1"/>
      <name val="Calibri"/>
      <family val="2"/>
      <charset val="238"/>
      <scheme val="minor"/>
    </font>
    <font>
      <i/>
      <sz val="11"/>
      <color theme="1"/>
      <name val="Calibri"/>
      <family val="2"/>
      <charset val="238"/>
      <scheme val="minor"/>
    </font>
    <font>
      <sz val="10"/>
      <name val="Arial CE"/>
      <charset val="238"/>
    </font>
    <font>
      <sz val="10"/>
      <color theme="1"/>
      <name val="Arial"/>
      <family val="2"/>
    </font>
    <font>
      <b/>
      <sz val="10"/>
      <color theme="1"/>
      <name val="Arial"/>
      <family val="2"/>
    </font>
    <font>
      <i/>
      <sz val="10"/>
      <color theme="1"/>
      <name val="Arial"/>
      <family val="2"/>
    </font>
    <font>
      <b/>
      <sz val="10"/>
      <color theme="0"/>
      <name val="Arial"/>
      <family val="2"/>
    </font>
    <font>
      <sz val="10"/>
      <name val="Arial"/>
      <family val="2"/>
    </font>
    <font>
      <b/>
      <sz val="10"/>
      <name val="Arial"/>
      <family val="2"/>
    </font>
    <font>
      <b/>
      <sz val="14"/>
      <color theme="1"/>
      <name val="Arial"/>
      <family val="2"/>
    </font>
    <font>
      <sz val="9"/>
      <color theme="1"/>
      <name val="Arial"/>
      <family val="2"/>
    </font>
    <font>
      <sz val="8"/>
      <color theme="1"/>
      <name val="Arial"/>
      <family val="2"/>
    </font>
    <font>
      <i/>
      <sz val="9"/>
      <color theme="1"/>
      <name val="Arial"/>
      <family val="2"/>
    </font>
    <font>
      <b/>
      <i/>
      <sz val="9"/>
      <color theme="1"/>
      <name val="Arial"/>
      <family val="2"/>
    </font>
    <font>
      <b/>
      <sz val="9"/>
      <color theme="1"/>
      <name val="Arial"/>
      <family val="2"/>
    </font>
    <font>
      <b/>
      <i/>
      <sz val="10"/>
      <name val="Arial"/>
      <family val="2"/>
    </font>
    <font>
      <b/>
      <i/>
      <sz val="9"/>
      <name val="Arial"/>
      <family val="2"/>
    </font>
    <font>
      <b/>
      <u/>
      <sz val="10"/>
      <name val="Arial"/>
      <family val="2"/>
    </font>
    <font>
      <i/>
      <sz val="10"/>
      <color theme="1"/>
      <name val="Arial"/>
      <family val="2"/>
      <charset val="238"/>
    </font>
    <font>
      <b/>
      <i/>
      <sz val="10"/>
      <color theme="1"/>
      <name val="Arial"/>
      <family val="2"/>
      <charset val="238"/>
    </font>
    <font>
      <b/>
      <i/>
      <sz val="10"/>
      <name val="Arial"/>
      <family val="2"/>
      <charset val="238"/>
    </font>
    <font>
      <sz val="10"/>
      <color rgb="FFFF0000"/>
      <name val="Arial"/>
      <family val="2"/>
    </font>
    <font>
      <i/>
      <sz val="8"/>
      <color theme="1"/>
      <name val="Arial"/>
      <family val="2"/>
    </font>
    <font>
      <i/>
      <sz val="8"/>
      <name val="Arial"/>
      <family val="2"/>
    </font>
    <font>
      <sz val="8"/>
      <name val="Arial"/>
      <family val="2"/>
    </font>
    <font>
      <sz val="10"/>
      <color rgb="FF000000"/>
      <name val="Tahoma"/>
      <family val="2"/>
      <charset val="238"/>
    </font>
    <font>
      <b/>
      <u/>
      <sz val="10"/>
      <color theme="1"/>
      <name val="Arial"/>
      <family val="2"/>
    </font>
    <font>
      <b/>
      <sz val="11"/>
      <color theme="0"/>
      <name val="Calibri"/>
      <family val="2"/>
      <scheme val="minor"/>
    </font>
    <font>
      <b/>
      <sz val="10"/>
      <color theme="1" tint="0.249977111117893"/>
      <name val="Arial"/>
      <family val="2"/>
    </font>
    <font>
      <sz val="10"/>
      <color theme="1" tint="0.249977111117893"/>
      <name val="Arial"/>
      <family val="2"/>
    </font>
    <font>
      <i/>
      <sz val="10"/>
      <color theme="1" tint="0.249977111117893"/>
      <name val="Arial"/>
      <family val="2"/>
    </font>
    <font>
      <i/>
      <sz val="9"/>
      <name val="Arial"/>
      <family val="2"/>
    </font>
    <font>
      <i/>
      <sz val="10"/>
      <name val="Arial"/>
      <family val="2"/>
      <charset val="238"/>
    </font>
    <font>
      <b/>
      <sz val="8"/>
      <color theme="1"/>
      <name val="Arial"/>
      <family val="2"/>
    </font>
    <font>
      <b/>
      <i/>
      <sz val="8"/>
      <color theme="1"/>
      <name val="Arial"/>
      <family val="2"/>
    </font>
    <font>
      <b/>
      <sz val="9"/>
      <color rgb="FFFF0000"/>
      <name val="Arial"/>
      <family val="2"/>
    </font>
    <font>
      <b/>
      <u/>
      <sz val="11"/>
      <color theme="1"/>
      <name val="Arial"/>
      <family val="2"/>
    </font>
    <font>
      <sz val="7"/>
      <name val="Arial"/>
      <family val="2"/>
    </font>
    <font>
      <b/>
      <sz val="10"/>
      <color rgb="FF002060"/>
      <name val="Arial"/>
      <family val="2"/>
    </font>
    <font>
      <i/>
      <sz val="10"/>
      <color rgb="FF002060"/>
      <name val="Arial"/>
      <family val="2"/>
      <charset val="238"/>
    </font>
    <font>
      <b/>
      <i/>
      <sz val="10"/>
      <color theme="5" tint="-0.499984740745262"/>
      <name val="Arial"/>
      <family val="2"/>
    </font>
    <font>
      <b/>
      <sz val="12"/>
      <color theme="1"/>
      <name val="Arial"/>
      <family val="2"/>
    </font>
    <font>
      <i/>
      <sz val="10"/>
      <name val="Arial"/>
      <family val="2"/>
    </font>
    <font>
      <i/>
      <sz val="10"/>
      <color rgb="FFFF0000"/>
      <name val="Arial"/>
      <family val="2"/>
      <charset val="238"/>
    </font>
    <font>
      <sz val="9"/>
      <color indexed="81"/>
      <name val="Segoe UI"/>
      <family val="2"/>
      <charset val="238"/>
    </font>
    <font>
      <b/>
      <sz val="9"/>
      <color indexed="81"/>
      <name val="Segoe UI"/>
      <family val="2"/>
      <charset val="238"/>
    </font>
    <font>
      <b/>
      <sz val="9"/>
      <color rgb="FF000000"/>
      <name val="Segoe UI"/>
      <family val="2"/>
      <charset val="1"/>
    </font>
    <font>
      <sz val="9"/>
      <color rgb="FF000000"/>
      <name val="Segoe UI"/>
      <family val="2"/>
      <charset val="1"/>
    </font>
    <font>
      <i/>
      <sz val="8"/>
      <color rgb="FF002060"/>
      <name val="Arial"/>
      <family val="2"/>
    </font>
    <font>
      <sz val="9"/>
      <color indexed="81"/>
      <name val="Tahoma"/>
      <family val="2"/>
      <charset val="238"/>
    </font>
    <font>
      <b/>
      <sz val="9"/>
      <color indexed="81"/>
      <name val="Tahoma"/>
      <family val="2"/>
      <charset val="238"/>
    </font>
    <font>
      <sz val="10"/>
      <color theme="1"/>
      <name val="Arial"/>
      <family val="2"/>
      <charset val="238"/>
    </font>
    <font>
      <i/>
      <sz val="9"/>
      <color rgb="FFFF0000"/>
      <name val="Arial"/>
      <family val="2"/>
      <charset val="238"/>
    </font>
    <font>
      <sz val="9"/>
      <color rgb="FF000000"/>
      <name val="Tahoma"/>
      <family val="2"/>
      <charset val="238"/>
    </font>
    <font>
      <b/>
      <sz val="9"/>
      <color rgb="FF000000"/>
      <name val="Tahoma"/>
      <family val="2"/>
      <charset val="238"/>
    </font>
    <font>
      <i/>
      <sz val="9"/>
      <name val="Arial"/>
      <family val="2"/>
      <charset val="238"/>
    </font>
    <font>
      <sz val="9"/>
      <name val="Arial"/>
      <family val="2"/>
      <charset val="238"/>
    </font>
    <font>
      <b/>
      <sz val="10"/>
      <name val="Arial"/>
      <family val="2"/>
      <charset val="23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0"/>
        <bgColor indexed="64"/>
      </patternFill>
    </fill>
    <fill>
      <patternFill patternType="solid">
        <fgColor rgb="FF92D050"/>
        <bgColor indexed="64"/>
      </patternFill>
    </fill>
  </fills>
  <borders count="14">
    <border>
      <left/>
      <right/>
      <top/>
      <bottom/>
      <diagonal/>
    </border>
    <border>
      <left/>
      <right/>
      <top style="medium">
        <color theme="0"/>
      </top>
      <bottom/>
      <diagonal/>
    </border>
    <border>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s>
  <cellStyleXfs count="2">
    <xf numFmtId="0" fontId="0" fillId="0" borderId="0"/>
    <xf numFmtId="0" fontId="2" fillId="0" borderId="0"/>
  </cellStyleXfs>
  <cellXfs count="207">
    <xf numFmtId="0" fontId="0" fillId="0" borderId="0" xfId="0"/>
    <xf numFmtId="0" fontId="0" fillId="0" borderId="0" xfId="0"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4" fillId="3" borderId="1" xfId="0" applyFont="1" applyFill="1" applyBorder="1" applyAlignment="1">
      <alignment vertical="center" wrapText="1"/>
    </xf>
    <xf numFmtId="0" fontId="4" fillId="2" borderId="1" xfId="0" applyFont="1" applyFill="1" applyBorder="1" applyAlignment="1">
      <alignment vertical="center" wrapText="1"/>
    </xf>
    <xf numFmtId="0" fontId="3" fillId="3"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13" fillId="2"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2"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15" fillId="4" borderId="1" xfId="0" applyFont="1" applyFill="1" applyBorder="1" applyAlignment="1">
      <alignment vertical="center" wrapText="1"/>
    </xf>
    <xf numFmtId="164" fontId="8" fillId="4" borderId="4" xfId="0" applyNumberFormat="1" applyFont="1" applyFill="1" applyBorder="1" applyAlignment="1">
      <alignment horizontal="center" vertical="center" wrapText="1"/>
    </xf>
    <xf numFmtId="164" fontId="12" fillId="3" borderId="1" xfId="0" applyNumberFormat="1" applyFont="1" applyFill="1" applyBorder="1" applyAlignment="1">
      <alignment horizontal="left" vertical="center" wrapText="1"/>
    </xf>
    <xf numFmtId="164" fontId="10"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1" fillId="0" borderId="0" xfId="0" applyFont="1" applyAlignment="1">
      <alignment horizontal="center" vertical="center" wrapText="1"/>
    </xf>
    <xf numFmtId="164" fontId="20" fillId="4" borderId="1" xfId="0" applyNumberFormat="1" applyFont="1" applyFill="1" applyBorder="1" applyAlignment="1">
      <alignment horizontal="center" vertical="center" wrapText="1"/>
    </xf>
    <xf numFmtId="164" fontId="4" fillId="2" borderId="1" xfId="0" applyNumberFormat="1" applyFont="1" applyFill="1" applyBorder="1" applyAlignment="1">
      <alignment vertical="center" wrapText="1"/>
    </xf>
    <xf numFmtId="164" fontId="4" fillId="2" borderId="0" xfId="0" applyNumberFormat="1" applyFont="1" applyFill="1" applyAlignment="1">
      <alignment vertical="center" wrapText="1"/>
    </xf>
    <xf numFmtId="0" fontId="11" fillId="3" borderId="0" xfId="0" applyFont="1" applyFill="1" applyAlignment="1">
      <alignment horizontal="center" vertical="center" wrapText="1"/>
    </xf>
    <xf numFmtId="0" fontId="22" fillId="3" borderId="0" xfId="0" applyFont="1" applyFill="1" applyAlignment="1">
      <alignment horizontal="center" vertical="center" wrapText="1"/>
    </xf>
    <xf numFmtId="0" fontId="23"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164" fontId="4" fillId="4" borderId="10" xfId="0" applyNumberFormat="1" applyFont="1" applyFill="1" applyBorder="1" applyAlignment="1">
      <alignment horizontal="center" vertical="center" wrapText="1"/>
    </xf>
    <xf numFmtId="0" fontId="7" fillId="3" borderId="1" xfId="0" applyFont="1" applyFill="1" applyBorder="1" applyAlignment="1">
      <alignment vertical="center" wrapText="1"/>
    </xf>
    <xf numFmtId="164" fontId="8" fillId="4" borderId="11" xfId="0" applyNumberFormat="1" applyFont="1" applyFill="1" applyBorder="1" applyAlignment="1">
      <alignment horizontal="center" vertical="center" wrapText="1"/>
    </xf>
    <xf numFmtId="164" fontId="16" fillId="4" borderId="11"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6" fillId="6" borderId="10"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3" fillId="0" borderId="1" xfId="0" applyFont="1" applyBorder="1" applyAlignment="1">
      <alignment vertical="center" wrapText="1"/>
    </xf>
    <xf numFmtId="164" fontId="3"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3" borderId="6" xfId="0" applyFont="1" applyFill="1" applyBorder="1" applyAlignment="1">
      <alignment vertical="center" wrapText="1"/>
    </xf>
    <xf numFmtId="164" fontId="18" fillId="3" borderId="6" xfId="0" applyNumberFormat="1" applyFont="1" applyFill="1" applyBorder="1" applyAlignment="1">
      <alignment horizontal="center" vertical="center" wrapText="1"/>
    </xf>
    <xf numFmtId="164" fontId="4" fillId="2" borderId="11" xfId="0" applyNumberFormat="1" applyFont="1" applyFill="1" applyBorder="1" applyAlignment="1">
      <alignment horizontal="center" vertical="center" wrapText="1"/>
    </xf>
    <xf numFmtId="164" fontId="26" fillId="2" borderId="4"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64" fontId="4" fillId="3" borderId="12" xfId="0" applyNumberFormat="1" applyFont="1" applyFill="1" applyBorder="1" applyAlignment="1">
      <alignment horizontal="center" vertical="center" wrapText="1"/>
    </xf>
    <xf numFmtId="164" fontId="12" fillId="4" borderId="1" xfId="0" applyNumberFormat="1" applyFont="1" applyFill="1" applyBorder="1" applyAlignment="1">
      <alignment horizontal="left" vertical="center" wrapText="1"/>
    </xf>
    <xf numFmtId="0" fontId="15" fillId="4" borderId="1" xfId="0" applyFont="1" applyFill="1" applyBorder="1" applyAlignment="1">
      <alignment horizontal="right" vertical="center" wrapText="1"/>
    </xf>
    <xf numFmtId="164" fontId="21" fillId="3"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164" fontId="29" fillId="3" borderId="1" xfId="0" applyNumberFormat="1"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164" fontId="28" fillId="2" borderId="0" xfId="0" applyNumberFormat="1" applyFont="1" applyFill="1" applyAlignment="1">
      <alignment horizontal="center" vertical="center" wrapText="1"/>
    </xf>
    <xf numFmtId="164" fontId="22" fillId="3" borderId="1" xfId="0" applyNumberFormat="1" applyFont="1" applyFill="1" applyBorder="1" applyAlignment="1">
      <alignment horizontal="center" vertical="center" wrapText="1"/>
    </xf>
    <xf numFmtId="164" fontId="31"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2" fillId="3" borderId="1" xfId="0" applyNumberFormat="1" applyFont="1" applyFill="1" applyBorder="1" applyAlignment="1">
      <alignment horizontal="center" vertical="center" wrapText="1"/>
    </xf>
    <xf numFmtId="0" fontId="4" fillId="3" borderId="6" xfId="0" applyFont="1" applyFill="1" applyBorder="1" applyAlignment="1">
      <alignment vertical="center" wrapText="1"/>
    </xf>
    <xf numFmtId="0" fontId="11"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164" fontId="35" fillId="3" borderId="4"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24" fillId="3" borderId="0" xfId="0" applyFont="1" applyFill="1" applyAlignment="1">
      <alignment horizontal="center" vertical="center" wrapText="1"/>
    </xf>
    <xf numFmtId="164" fontId="8" fillId="2" borderId="4"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18" fillId="3" borderId="3" xfId="0" applyNumberFormat="1" applyFont="1" applyFill="1" applyBorder="1" applyAlignment="1">
      <alignment horizontal="center" vertical="center" wrapText="1"/>
    </xf>
    <xf numFmtId="164" fontId="32" fillId="3" borderId="3" xfId="0" applyNumberFormat="1" applyFont="1" applyFill="1" applyBorder="1" applyAlignment="1">
      <alignment horizontal="center" vertical="center" wrapText="1"/>
    </xf>
    <xf numFmtId="164" fontId="18" fillId="3" borderId="10" xfId="0" applyNumberFormat="1" applyFont="1" applyFill="1" applyBorder="1" applyAlignment="1">
      <alignment horizontal="center" vertical="center" wrapText="1"/>
    </xf>
    <xf numFmtId="164" fontId="39" fillId="3" borderId="1" xfId="0" applyNumberFormat="1" applyFont="1" applyFill="1" applyBorder="1" applyAlignment="1">
      <alignment horizontal="center" vertical="center" wrapText="1"/>
    </xf>
    <xf numFmtId="164" fontId="40" fillId="3" borderId="3"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64" fontId="17" fillId="2" borderId="4" xfId="0" applyNumberFormat="1" applyFont="1" applyFill="1" applyBorder="1" applyAlignment="1">
      <alignment horizontal="center" vertical="center" wrapText="1"/>
    </xf>
    <xf numFmtId="164" fontId="42" fillId="3" borderId="1" xfId="0"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43" fillId="3" borderId="3" xfId="0" applyNumberFormat="1" applyFont="1" applyFill="1" applyBorder="1" applyAlignment="1">
      <alignment horizontal="center" vertical="center" wrapText="1"/>
    </xf>
    <xf numFmtId="164" fontId="43" fillId="3" borderId="10" xfId="0" applyNumberFormat="1" applyFont="1" applyFill="1" applyBorder="1" applyAlignment="1">
      <alignment horizontal="center" vertical="center" wrapText="1"/>
    </xf>
    <xf numFmtId="164" fontId="20" fillId="3" borderId="3" xfId="0" applyNumberFormat="1" applyFont="1" applyFill="1" applyBorder="1" applyAlignment="1">
      <alignment horizontal="center" vertical="center" wrapText="1"/>
    </xf>
    <xf numFmtId="164" fontId="32" fillId="3" borderId="10" xfId="0" applyNumberFormat="1" applyFont="1" applyFill="1" applyBorder="1" applyAlignment="1">
      <alignment horizontal="center" vertical="center" wrapText="1"/>
    </xf>
    <xf numFmtId="164" fontId="48" fillId="3" borderId="1" xfId="0" applyNumberFormat="1" applyFont="1" applyFill="1" applyBorder="1" applyAlignment="1">
      <alignment horizontal="center" vertical="center" wrapText="1"/>
    </xf>
    <xf numFmtId="164" fontId="0" fillId="0" borderId="0" xfId="0" applyNumberFormat="1" applyAlignment="1">
      <alignment wrapText="1"/>
    </xf>
    <xf numFmtId="0" fontId="0" fillId="7" borderId="0" xfId="0" applyFill="1" applyAlignment="1">
      <alignment wrapText="1"/>
    </xf>
    <xf numFmtId="164" fontId="51" fillId="3" borderId="1" xfId="0" applyNumberFormat="1" applyFont="1" applyFill="1" applyBorder="1" applyAlignment="1">
      <alignment horizontal="center" vertical="center" wrapText="1"/>
    </xf>
    <xf numFmtId="164" fontId="52" fillId="3" borderId="10"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55" fillId="3" borderId="3" xfId="0" applyNumberFormat="1" applyFont="1" applyFill="1" applyBorder="1" applyAlignment="1">
      <alignment horizontal="center" vertical="center" wrapText="1"/>
    </xf>
    <xf numFmtId="164" fontId="56" fillId="3" borderId="3" xfId="0" applyNumberFormat="1" applyFont="1" applyFill="1" applyBorder="1" applyAlignment="1">
      <alignment horizontal="center" vertical="center" wrapText="1"/>
    </xf>
    <xf numFmtId="164" fontId="57" fillId="2" borderId="3" xfId="0" applyNumberFormat="1" applyFont="1" applyFill="1" applyBorder="1" applyAlignment="1">
      <alignment horizontal="center" vertical="center" wrapText="1"/>
    </xf>
    <xf numFmtId="164" fontId="55" fillId="3" borderId="10"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3" fontId="0" fillId="0" borderId="0" xfId="0" applyNumberFormat="1" applyAlignment="1">
      <alignment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22"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3" fontId="0" fillId="8" borderId="0" xfId="0" applyNumberFormat="1" applyFill="1" applyAlignment="1">
      <alignment wrapText="1"/>
    </xf>
    <xf numFmtId="164" fontId="22" fillId="3" borderId="1"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5" fillId="3" borderId="6" xfId="0" applyFont="1" applyFill="1" applyBorder="1" applyAlignment="1">
      <alignment horizontal="right" vertical="center" wrapText="1"/>
    </xf>
    <xf numFmtId="0" fontId="4" fillId="3" borderId="6" xfId="0" applyFont="1" applyFill="1" applyBorder="1" applyAlignment="1">
      <alignment horizontal="right" vertical="center" wrapText="1"/>
    </xf>
    <xf numFmtId="164" fontId="22" fillId="3" borderId="1" xfId="0" applyNumberFormat="1" applyFont="1" applyFill="1" applyBorder="1" applyAlignment="1">
      <alignment horizontal="center" vertical="center" wrapText="1"/>
    </xf>
    <xf numFmtId="164" fontId="22" fillId="3" borderId="0" xfId="0" applyNumberFormat="1" applyFont="1" applyFill="1" applyAlignment="1">
      <alignment horizontal="center" vertical="center" wrapText="1"/>
    </xf>
    <xf numFmtId="164" fontId="22" fillId="3" borderId="2"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3" xfId="0" applyFont="1" applyFill="1" applyBorder="1" applyAlignment="1">
      <alignment horizontal="center" vertical="center" wrapText="1"/>
    </xf>
    <xf numFmtId="164" fontId="4" fillId="4" borderId="0" xfId="0" applyNumberFormat="1" applyFont="1" applyFill="1" applyAlignment="1">
      <alignment horizontal="center" vertical="center" wrapText="1"/>
    </xf>
    <xf numFmtId="164" fontId="11" fillId="3" borderId="3"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64" fontId="11" fillId="3" borderId="9" xfId="0" applyNumberFormat="1" applyFont="1" applyFill="1" applyBorder="1" applyAlignment="1">
      <alignment horizontal="center" vertical="center" wrapText="1"/>
    </xf>
    <xf numFmtId="164" fontId="11" fillId="3" borderId="0" xfId="0" applyNumberFormat="1" applyFont="1" applyFill="1" applyAlignment="1">
      <alignment horizontal="center" vertical="center" wrapText="1"/>
    </xf>
    <xf numFmtId="164" fontId="11" fillId="3" borderId="13"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0" fontId="3" fillId="3" borderId="6" xfId="0" applyFont="1" applyFill="1" applyBorder="1" applyAlignment="1">
      <alignment horizontal="right" vertical="center" wrapText="1"/>
    </xf>
    <xf numFmtId="164" fontId="38" fillId="3" borderId="1" xfId="0" applyNumberFormat="1" applyFont="1" applyFill="1" applyBorder="1" applyAlignment="1">
      <alignment horizontal="center" vertical="center" wrapText="1"/>
    </xf>
    <xf numFmtId="164" fontId="38" fillId="3" borderId="0" xfId="0" applyNumberFormat="1" applyFont="1" applyFill="1" applyAlignment="1">
      <alignment horizontal="center" vertical="center" wrapText="1"/>
    </xf>
    <xf numFmtId="0" fontId="4" fillId="3" borderId="2" xfId="0" applyFont="1" applyFill="1" applyBorder="1" applyAlignment="1">
      <alignment horizontal="right" vertical="center" wrapText="1"/>
    </xf>
    <xf numFmtId="164" fontId="4" fillId="3" borderId="2" xfId="0" applyNumberFormat="1" applyFont="1" applyFill="1" applyBorder="1" applyAlignment="1">
      <alignment horizontal="right" vertical="center" wrapText="1"/>
    </xf>
    <xf numFmtId="164" fontId="4" fillId="3" borderId="2" xfId="0" applyNumberFormat="1" applyFont="1" applyFill="1" applyBorder="1" applyAlignment="1">
      <alignment horizontal="center" vertical="center" wrapText="1"/>
    </xf>
    <xf numFmtId="0" fontId="27" fillId="5" borderId="6" xfId="0" applyFont="1" applyFill="1" applyBorder="1" applyAlignment="1">
      <alignment horizontal="center"/>
    </xf>
    <xf numFmtId="0" fontId="27" fillId="5" borderId="5" xfId="0" applyFont="1" applyFill="1" applyBorder="1" applyAlignment="1">
      <alignment horizontal="center"/>
    </xf>
    <xf numFmtId="164" fontId="4" fillId="4" borderId="6" xfId="0" applyNumberFormat="1" applyFont="1" applyFill="1" applyBorder="1" applyAlignment="1">
      <alignment horizontal="center" vertical="center" wrapText="1"/>
    </xf>
    <xf numFmtId="0" fontId="3" fillId="3" borderId="6" xfId="0" applyFont="1" applyFill="1" applyBorder="1" applyAlignment="1">
      <alignment horizontal="left" vertical="center" wrapText="1"/>
    </xf>
    <xf numFmtId="164" fontId="3" fillId="3" borderId="6" xfId="0" applyNumberFormat="1" applyFont="1" applyFill="1" applyBorder="1" applyAlignment="1">
      <alignment horizontal="left" vertical="center" wrapText="1"/>
    </xf>
    <xf numFmtId="164" fontId="3" fillId="3" borderId="6" xfId="0" applyNumberFormat="1" applyFont="1" applyFill="1" applyBorder="1" applyAlignment="1">
      <alignment horizontal="center" vertical="center" wrapText="1"/>
    </xf>
    <xf numFmtId="164" fontId="3" fillId="3" borderId="10" xfId="0" applyNumberFormat="1" applyFont="1" applyFill="1" applyBorder="1" applyAlignment="1">
      <alignment horizontal="left" vertical="center" wrapText="1"/>
    </xf>
    <xf numFmtId="0" fontId="3" fillId="3" borderId="5" xfId="0" applyFont="1" applyFill="1" applyBorder="1" applyAlignment="1">
      <alignment horizontal="right" vertical="center" wrapText="1"/>
    </xf>
    <xf numFmtId="164" fontId="5" fillId="2" borderId="0" xfId="0" applyNumberFormat="1" applyFont="1" applyFill="1" applyAlignment="1">
      <alignment horizontal="right" vertical="center" wrapText="1"/>
    </xf>
    <xf numFmtId="164" fontId="4" fillId="2" borderId="0" xfId="0" applyNumberFormat="1" applyFont="1" applyFill="1" applyAlignment="1">
      <alignment horizontal="right" vertical="center" wrapText="1"/>
    </xf>
    <xf numFmtId="164" fontId="7" fillId="3" borderId="1" xfId="0" applyNumberFormat="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164" fontId="7" fillId="3" borderId="0" xfId="0" applyNumberFormat="1" applyFont="1" applyFill="1" applyAlignment="1">
      <alignment horizontal="center" vertical="center" wrapText="1"/>
    </xf>
    <xf numFmtId="164" fontId="28" fillId="4" borderId="10" xfId="0" applyNumberFormat="1" applyFont="1" applyFill="1" applyBorder="1" applyAlignment="1">
      <alignment horizontal="center" vertical="center" wrapText="1"/>
    </xf>
    <xf numFmtId="164" fontId="28" fillId="4" borderId="6"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4" fillId="3" borderId="12" xfId="0" applyFont="1" applyFill="1" applyBorder="1" applyAlignment="1">
      <alignment horizontal="right" vertical="center" wrapText="1"/>
    </xf>
    <xf numFmtId="164" fontId="37" fillId="3" borderId="10" xfId="0" applyNumberFormat="1" applyFont="1" applyFill="1" applyBorder="1" applyAlignment="1">
      <alignment horizontal="center" vertical="center" wrapText="1"/>
    </xf>
    <xf numFmtId="164" fontId="37" fillId="3" borderId="6"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164" fontId="18" fillId="3" borderId="7" xfId="0" applyNumberFormat="1"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3"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6" fillId="6" borderId="0" xfId="0" applyFont="1" applyFill="1" applyAlignment="1">
      <alignment horizontal="center" vertical="center" wrapText="1"/>
    </xf>
    <xf numFmtId="164" fontId="6" fillId="5" borderId="6"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3" borderId="0" xfId="0" applyNumberFormat="1" applyFont="1" applyFill="1" applyAlignment="1">
      <alignment horizontal="center" vertical="center" wrapText="1"/>
    </xf>
    <xf numFmtId="0" fontId="6" fillId="5" borderId="0" xfId="0" applyFont="1" applyFill="1" applyAlignment="1">
      <alignment horizontal="center" vertical="center" wrapText="1"/>
    </xf>
    <xf numFmtId="164" fontId="36" fillId="2" borderId="3" xfId="0" applyNumberFormat="1" applyFont="1" applyFill="1" applyBorder="1" applyAlignment="1">
      <alignment horizontal="center" vertical="center" wrapText="1"/>
    </xf>
    <xf numFmtId="164" fontId="36" fillId="2" borderId="9"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164" fontId="38" fillId="2" borderId="1"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3" borderId="0" xfId="0" applyNumberFormat="1" applyFont="1" applyFill="1" applyAlignment="1">
      <alignment horizontal="center" vertical="center" wrapText="1"/>
    </xf>
    <xf numFmtId="164" fontId="3" fillId="3" borderId="13"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5" fillId="3" borderId="0" xfId="0" applyNumberFormat="1" applyFont="1" applyFill="1" applyBorder="1" applyAlignment="1">
      <alignment horizontal="center" vertical="center" wrapText="1"/>
    </xf>
  </cellXfs>
  <cellStyles count="2">
    <cellStyle name="Normál" xfId="0" builtinId="0"/>
    <cellStyle name="Normál 2" xfId="1" xr:uid="{00000000-0005-0000-0000-000001000000}"/>
  </cellStyles>
  <dxfs count="0"/>
  <tableStyles count="0" defaultTableStyle="TableStyleMedium2" defaultPivotStyle="PivotStyleLight16"/>
  <colors>
    <mruColors>
      <color rgb="FFFF7C80"/>
      <color rgb="FF72CCA0"/>
      <color rgb="FF71C1AF"/>
      <color rgb="FFB17BE2"/>
      <color rgb="FFA44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23'!$D$93:$D$98</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23'!$E$103:$E$112</c:f>
              <c:numCache>
                <c:formatCode>#\ ##0\ _F_t</c:formatCode>
                <c:ptCount val="10"/>
                <c:pt idx="0">
                  <c:v>345641</c:v>
                </c:pt>
                <c:pt idx="1">
                  <c:v>110246</c:v>
                </c:pt>
                <c:pt idx="2">
                  <c:v>460044</c:v>
                </c:pt>
                <c:pt idx="3">
                  <c:v>63872</c:v>
                </c:pt>
                <c:pt idx="4">
                  <c:v>79212</c:v>
                </c:pt>
                <c:pt idx="5">
                  <c:v>212374</c:v>
                </c:pt>
                <c:pt idx="6">
                  <c:v>57127</c:v>
                </c:pt>
                <c:pt idx="7">
                  <c:v>107143</c:v>
                </c:pt>
                <c:pt idx="8">
                  <c:v>22130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23'!$I$109:$I$112</c:f>
              <c:numCache>
                <c:formatCode>#\ ##0\ _F_t</c:formatCode>
                <c:ptCount val="4"/>
                <c:pt idx="0">
                  <c:v>1467789</c:v>
                </c:pt>
                <c:pt idx="1">
                  <c:v>104772</c:v>
                </c:pt>
                <c:pt idx="2">
                  <c:v>182029</c:v>
                </c:pt>
                <c:pt idx="3">
                  <c:v>562118</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24'!$E$103:$E$112</c:f>
              <c:numCache>
                <c:formatCode>#\ ##0\ _F_t</c:formatCode>
                <c:ptCount val="10"/>
                <c:pt idx="0">
                  <c:v>374826</c:v>
                </c:pt>
                <c:pt idx="1">
                  <c:v>96087</c:v>
                </c:pt>
                <c:pt idx="2">
                  <c:v>468115</c:v>
                </c:pt>
                <c:pt idx="3">
                  <c:v>136811</c:v>
                </c:pt>
                <c:pt idx="4">
                  <c:v>40660</c:v>
                </c:pt>
                <c:pt idx="5">
                  <c:v>179514</c:v>
                </c:pt>
                <c:pt idx="6">
                  <c:v>19790</c:v>
                </c:pt>
                <c:pt idx="7">
                  <c:v>121797</c:v>
                </c:pt>
                <c:pt idx="8">
                  <c:v>21700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24'!$I$109:$I$112</c:f>
              <c:numCache>
                <c:formatCode>#\ ##0\ _F_t</c:formatCode>
                <c:ptCount val="4"/>
                <c:pt idx="0">
                  <c:v>1469300</c:v>
                </c:pt>
                <c:pt idx="1">
                  <c:v>9736</c:v>
                </c:pt>
                <c:pt idx="2">
                  <c:v>25000</c:v>
                </c:pt>
                <c:pt idx="3">
                  <c:v>0</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33C-46E7-A895-9C0CC5009F1C}"/>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33C-46E7-A895-9C0CC5009F1C}"/>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33C-46E7-A895-9C0CC5009F1C}"/>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33C-46E7-A895-9C0CC5009F1C}"/>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33C-46E7-A895-9C0CC5009F1C}"/>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33C-46E7-A895-9C0CC5009F1C}"/>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33C-46E7-A895-9C0CC5009F1C}"/>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33C-46E7-A895-9C0CC5009F1C}"/>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33C-46E7-A895-9C0CC5009F1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133C-46E7-A895-9C0CC5009F1C}"/>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33C-46E7-A895-9C0CC5009F1C}"/>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33C-46E7-A895-9C0CC5009F1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133C-46E7-A895-9C0CC5009F1C}"/>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792-4372-B43C-E9E79971FB7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792-4372-B43C-E9E79971FB7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792-4372-B43C-E9E79971FB7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792-4372-B43C-E9E79971FB74}"/>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792-4372-B43C-E9E79971FB74}"/>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8792-4372-B43C-E9E79971FB74}"/>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8792-4372-B43C-E9E79971FB74}"/>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8792-4372-B43C-E9E79971FB74}"/>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8792-4372-B43C-E9E79971FB74}"/>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8792-4372-B43C-E9E79971FB7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8792-4372-B43C-E9E79971FB74}"/>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8792-4372-B43C-E9E79971FB74}"/>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792-4372-B43C-E9E79971FB7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8792-4372-B43C-E9E79971FB74}"/>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8792-4372-B43C-E9E79971FB74}"/>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8792-4372-B43C-E9E79971FB74}"/>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792-4372-B43C-E9E79971FB74}"/>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8792-4372-B43C-E9E79971FB74}"/>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792-4372-B43C-E9E79971FB74}"/>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792-4372-B43C-E9E79971FB7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módosítás'!$E$103:$E$112</c:f>
              <c:numCache>
                <c:formatCode>#\ ##0\ _F_t</c:formatCode>
                <c:ptCount val="10"/>
                <c:pt idx="0">
                  <c:v>385369</c:v>
                </c:pt>
                <c:pt idx="1">
                  <c:v>133378</c:v>
                </c:pt>
                <c:pt idx="2">
                  <c:v>501901</c:v>
                </c:pt>
                <c:pt idx="3">
                  <c:v>143087</c:v>
                </c:pt>
                <c:pt idx="4">
                  <c:v>42616</c:v>
                </c:pt>
                <c:pt idx="5">
                  <c:v>207294</c:v>
                </c:pt>
                <c:pt idx="6">
                  <c:v>31548</c:v>
                </c:pt>
                <c:pt idx="7">
                  <c:v>119048</c:v>
                </c:pt>
                <c:pt idx="8">
                  <c:v>28680</c:v>
                </c:pt>
                <c:pt idx="9">
                  <c:v>10000</c:v>
                </c:pt>
              </c:numCache>
            </c:numRef>
          </c:val>
          <c:extLst>
            <c:ext xmlns:c16="http://schemas.microsoft.com/office/drawing/2014/chart" uri="{C3380CC4-5D6E-409C-BE32-E72D297353CC}">
              <c16:uniqueId val="{00000014-8792-4372-B43C-E9E79971FB7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359-42B3-9E90-1267D9D99E3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359-42B3-9E90-1267D9D99E38}"/>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359-42B3-9E90-1267D9D99E38}"/>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359-42B3-9E90-1267D9D99E38}"/>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8359-42B3-9E90-1267D9D99E38}"/>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59-42B3-9E90-1267D9D99E38}"/>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59-42B3-9E90-1267D9D99E38}"/>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8359-42B3-9E90-1267D9D99E38}"/>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módosítás'!$I$109:$I$112</c:f>
              <c:numCache>
                <c:formatCode>#\ ##0\ _F_t</c:formatCode>
                <c:ptCount val="4"/>
                <c:pt idx="0">
                  <c:v>1602921</c:v>
                </c:pt>
                <c:pt idx="1">
                  <c:v>381332</c:v>
                </c:pt>
                <c:pt idx="2">
                  <c:v>332974</c:v>
                </c:pt>
                <c:pt idx="3">
                  <c:v>1533310</c:v>
                </c:pt>
              </c:numCache>
            </c:numRef>
          </c:val>
          <c:extLst>
            <c:ext xmlns:c16="http://schemas.microsoft.com/office/drawing/2014/chart" uri="{C3380CC4-5D6E-409C-BE32-E72D297353CC}">
              <c16:uniqueId val="{00000008-8359-42B3-9E90-1267D9D99E38}"/>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359-42B3-9E90-1267D9D99E3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359-42B3-9E90-1267D9D99E38}"/>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8359-42B3-9E90-1267D9D99E38}"/>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8359-42B3-9E90-1267D9D99E3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8359-42B3-9E90-1267D9D99E3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8359-42B3-9E90-1267D9D99E3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8359-42B3-9E90-1267D9D99E3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8359-42B3-9E90-1267D9D99E3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módosítás'!$J$109:$J$112</c:f>
              <c:numCache>
                <c:formatCode>#\ ##0\ _F_t</c:formatCode>
                <c:ptCount val="4"/>
              </c:numCache>
            </c:numRef>
          </c:val>
          <c:extLst>
            <c:ext xmlns:c16="http://schemas.microsoft.com/office/drawing/2014/chart" uri="{C3380CC4-5D6E-409C-BE32-E72D297353CC}">
              <c16:uniqueId val="{00000011-8359-42B3-9E90-1267D9D99E3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23'!$E$101:$E$110</c:f>
              <c:numCache>
                <c:formatCode>#\ ##0\ _F_t</c:formatCode>
                <c:ptCount val="10"/>
                <c:pt idx="0">
                  <c:v>322181</c:v>
                </c:pt>
                <c:pt idx="1">
                  <c:v>70446</c:v>
                </c:pt>
                <c:pt idx="2">
                  <c:v>433663</c:v>
                </c:pt>
                <c:pt idx="3">
                  <c:v>63872</c:v>
                </c:pt>
                <c:pt idx="4">
                  <c:v>79212</c:v>
                </c:pt>
                <c:pt idx="5">
                  <c:v>163785</c:v>
                </c:pt>
                <c:pt idx="6">
                  <c:v>53418</c:v>
                </c:pt>
                <c:pt idx="7">
                  <c:v>99143</c:v>
                </c:pt>
                <c:pt idx="8">
                  <c:v>11400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24'!$E$103:$E$112</c:f>
              <c:numCache>
                <c:formatCode>#\ ##0\ _F_t</c:formatCode>
                <c:ptCount val="10"/>
                <c:pt idx="0">
                  <c:v>383051</c:v>
                </c:pt>
                <c:pt idx="1">
                  <c:v>128696</c:v>
                </c:pt>
                <c:pt idx="2">
                  <c:v>496119</c:v>
                </c:pt>
                <c:pt idx="3">
                  <c:v>143087</c:v>
                </c:pt>
                <c:pt idx="4">
                  <c:v>42616</c:v>
                </c:pt>
                <c:pt idx="5">
                  <c:v>195260</c:v>
                </c:pt>
                <c:pt idx="6">
                  <c:v>30532</c:v>
                </c:pt>
                <c:pt idx="7">
                  <c:v>119048</c:v>
                </c:pt>
                <c:pt idx="8">
                  <c:v>26700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24'!$I$109:$I$112</c:f>
              <c:numCache>
                <c:formatCode>#\ ##0\ _F_t</c:formatCode>
                <c:ptCount val="4"/>
                <c:pt idx="0">
                  <c:v>1575109</c:v>
                </c:pt>
                <c:pt idx="1">
                  <c:v>127244</c:v>
                </c:pt>
                <c:pt idx="2">
                  <c:v>311024</c:v>
                </c:pt>
                <c:pt idx="3">
                  <c:v>1519969</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BD6-4B16-A376-2B0301C9CA6E}"/>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BD6-4B16-A376-2B0301C9CA6E}"/>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BD6-4B16-A376-2B0301C9CA6E}"/>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BD6-4B16-A376-2B0301C9CA6E}"/>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BD6-4B16-A376-2B0301C9CA6E}"/>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BD6-4B16-A376-2B0301C9CA6E}"/>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6-4B16-A376-2B0301C9CA6E}"/>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6-4B16-A376-2B0301C9CA6E}"/>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6-4B16-A376-2B0301C9CA6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BD6-4B16-A376-2B0301C9CA6E}"/>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D6-4B16-A376-2B0301C9CA6E}"/>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BD6-4B16-A376-2B0301C9CA6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7BD6-4B16-A376-2B0301C9CA6E}"/>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83-47BC-984C-C2A520AAB641}"/>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83-47BC-984C-C2A520AAB641}"/>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83-47BC-984C-C2A520AAB641}"/>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83-47BC-984C-C2A520AAB641}"/>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883-47BC-984C-C2A520AAB641}"/>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883-47BC-984C-C2A520AAB641}"/>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883-47BC-984C-C2A520AAB641}"/>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6883-47BC-984C-C2A520AAB641}"/>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6883-47BC-984C-C2A520AAB641}"/>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6883-47BC-984C-C2A520AAB641}"/>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6883-47BC-984C-C2A520AAB641}"/>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6883-47BC-984C-C2A520AAB641}"/>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83-47BC-984C-C2A520AAB641}"/>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883-47BC-984C-C2A520AAB641}"/>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883-47BC-984C-C2A520AAB641}"/>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6883-47BC-984C-C2A520AAB641}"/>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883-47BC-984C-C2A520AAB641}"/>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6883-47BC-984C-C2A520AAB641}"/>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883-47BC-984C-C2A520AAB641}"/>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883-47BC-984C-C2A520AAB641}"/>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(2)'!$E$103:$E$112</c:f>
              <c:numCache>
                <c:formatCode>#\ ##0\ _F_t</c:formatCode>
                <c:ptCount val="10"/>
                <c:pt idx="0">
                  <c:v>386006</c:v>
                </c:pt>
                <c:pt idx="1">
                  <c:v>128696</c:v>
                </c:pt>
                <c:pt idx="2">
                  <c:v>502251</c:v>
                </c:pt>
                <c:pt idx="3">
                  <c:v>143087</c:v>
                </c:pt>
                <c:pt idx="4">
                  <c:v>42616</c:v>
                </c:pt>
                <c:pt idx="5">
                  <c:v>207294</c:v>
                </c:pt>
                <c:pt idx="6">
                  <c:v>31548</c:v>
                </c:pt>
                <c:pt idx="7">
                  <c:v>119048</c:v>
                </c:pt>
                <c:pt idx="8">
                  <c:v>28680</c:v>
                </c:pt>
                <c:pt idx="9">
                  <c:v>10000</c:v>
                </c:pt>
              </c:numCache>
            </c:numRef>
          </c:val>
          <c:extLst>
            <c:ext xmlns:c16="http://schemas.microsoft.com/office/drawing/2014/chart" uri="{C3380CC4-5D6E-409C-BE32-E72D297353CC}">
              <c16:uniqueId val="{00000014-6883-47BC-984C-C2A520AAB641}"/>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5A4-4905-85EB-55DD57F0B936}"/>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75A4-4905-85EB-55DD57F0B936}"/>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A4-4905-85EB-55DD57F0B936}"/>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A4-4905-85EB-55DD57F0B936}"/>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5A4-4905-85EB-55DD57F0B936}"/>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(2)'!$I$109:$I$112</c:f>
              <c:numCache>
                <c:formatCode>#\ ##0\ _F_t</c:formatCode>
                <c:ptCount val="4"/>
                <c:pt idx="0">
                  <c:v>1599226</c:v>
                </c:pt>
                <c:pt idx="1">
                  <c:v>384815</c:v>
                </c:pt>
                <c:pt idx="2">
                  <c:v>337019</c:v>
                </c:pt>
                <c:pt idx="3">
                  <c:v>1533122</c:v>
                </c:pt>
              </c:numCache>
            </c:numRef>
          </c:val>
          <c:extLst>
            <c:ext xmlns:c16="http://schemas.microsoft.com/office/drawing/2014/chart" uri="{C3380CC4-5D6E-409C-BE32-E72D297353CC}">
              <c16:uniqueId val="{00000008-75A4-4905-85EB-55DD57F0B936}"/>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5A4-4905-85EB-55DD57F0B93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75A4-4905-85EB-55DD57F0B93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75A4-4905-85EB-55DD57F0B93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75A4-4905-85EB-55DD57F0B93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75A4-4905-85EB-55DD57F0B93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(2)'!$J$109:$J$112</c:f>
              <c:numCache>
                <c:formatCode>#\ ##0\ _F_t</c:formatCode>
                <c:ptCount val="4"/>
              </c:numCache>
            </c:numRef>
          </c:val>
          <c:extLst>
            <c:ext xmlns:c16="http://schemas.microsoft.com/office/drawing/2014/chart" uri="{C3380CC4-5D6E-409C-BE32-E72D297353CC}">
              <c16:uniqueId val="{00000011-75A4-4905-85EB-55DD57F0B93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BD6-4B16-A376-2B0301C9CA6E}"/>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BD6-4B16-A376-2B0301C9CA6E}"/>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BD6-4B16-A376-2B0301C9CA6E}"/>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BD6-4B16-A376-2B0301C9CA6E}"/>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BD6-4B16-A376-2B0301C9CA6E}"/>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BD6-4B16-A376-2B0301C9CA6E}"/>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6-4B16-A376-2B0301C9CA6E}"/>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6-4B16-A376-2B0301C9CA6E}"/>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6-4B16-A376-2B0301C9CA6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BD6-4B16-A376-2B0301C9CA6E}"/>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D6-4B16-A376-2B0301C9CA6E}"/>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BD6-4B16-A376-2B0301C9CA6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7BD6-4B16-A376-2B0301C9CA6E}"/>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83-47BC-984C-C2A520AAB641}"/>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83-47BC-984C-C2A520AAB641}"/>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83-47BC-984C-C2A520AAB641}"/>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83-47BC-984C-C2A520AAB641}"/>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883-47BC-984C-C2A520AAB641}"/>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883-47BC-984C-C2A520AAB641}"/>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883-47BC-984C-C2A520AAB641}"/>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6883-47BC-984C-C2A520AAB641}"/>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6883-47BC-984C-C2A520AAB641}"/>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6883-47BC-984C-C2A520AAB641}"/>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6883-47BC-984C-C2A520AAB641}"/>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6883-47BC-984C-C2A520AAB641}"/>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83-47BC-984C-C2A520AAB641}"/>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883-47BC-984C-C2A520AAB641}"/>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883-47BC-984C-C2A520AAB641}"/>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6883-47BC-984C-C2A520AAB641}"/>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883-47BC-984C-C2A520AAB641}"/>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6883-47BC-984C-C2A520AAB641}"/>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883-47BC-984C-C2A520AAB641}"/>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883-47BC-984C-C2A520AAB641}"/>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(3)'!$E$103:$E$112</c:f>
              <c:numCache>
                <c:formatCode>#\ ##0\ _F_t</c:formatCode>
                <c:ptCount val="10"/>
                <c:pt idx="0">
                  <c:v>393292</c:v>
                </c:pt>
                <c:pt idx="1">
                  <c:v>128696</c:v>
                </c:pt>
                <c:pt idx="2">
                  <c:v>502251</c:v>
                </c:pt>
                <c:pt idx="3">
                  <c:v>143087</c:v>
                </c:pt>
                <c:pt idx="4">
                  <c:v>42616</c:v>
                </c:pt>
                <c:pt idx="5">
                  <c:v>213807</c:v>
                </c:pt>
                <c:pt idx="6">
                  <c:v>31548</c:v>
                </c:pt>
                <c:pt idx="7">
                  <c:v>119048</c:v>
                </c:pt>
                <c:pt idx="8">
                  <c:v>28680</c:v>
                </c:pt>
                <c:pt idx="9">
                  <c:v>10000</c:v>
                </c:pt>
              </c:numCache>
            </c:numRef>
          </c:val>
          <c:extLst>
            <c:ext xmlns:c16="http://schemas.microsoft.com/office/drawing/2014/chart" uri="{C3380CC4-5D6E-409C-BE32-E72D297353CC}">
              <c16:uniqueId val="{00000014-6883-47BC-984C-C2A520AAB641}"/>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5A4-4905-85EB-55DD57F0B936}"/>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75A4-4905-85EB-55DD57F0B936}"/>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A4-4905-85EB-55DD57F0B936}"/>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A4-4905-85EB-55DD57F0B936}"/>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5A4-4905-85EB-55DD57F0B936}"/>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(3)'!$I$109:$I$112</c:f>
              <c:numCache>
                <c:formatCode>#\ ##0\ _F_t</c:formatCode>
                <c:ptCount val="4"/>
                <c:pt idx="0">
                  <c:v>1613025</c:v>
                </c:pt>
                <c:pt idx="1">
                  <c:v>316744</c:v>
                </c:pt>
                <c:pt idx="2">
                  <c:v>391586</c:v>
                </c:pt>
                <c:pt idx="3">
                  <c:v>1544175</c:v>
                </c:pt>
              </c:numCache>
            </c:numRef>
          </c:val>
          <c:extLst>
            <c:ext xmlns:c16="http://schemas.microsoft.com/office/drawing/2014/chart" uri="{C3380CC4-5D6E-409C-BE32-E72D297353CC}">
              <c16:uniqueId val="{00000008-75A4-4905-85EB-55DD57F0B936}"/>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5A4-4905-85EB-55DD57F0B93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75A4-4905-85EB-55DD57F0B93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75A4-4905-85EB-55DD57F0B93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75A4-4905-85EB-55DD57F0B93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75A4-4905-85EB-55DD57F0B93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(3)'!$J$109:$J$112</c:f>
              <c:numCache>
                <c:formatCode>#\ ##0\ _F_t</c:formatCode>
                <c:ptCount val="4"/>
              </c:numCache>
            </c:numRef>
          </c:val>
          <c:extLst>
            <c:ext xmlns:c16="http://schemas.microsoft.com/office/drawing/2014/chart" uri="{C3380CC4-5D6E-409C-BE32-E72D297353CC}">
              <c16:uniqueId val="{00000011-75A4-4905-85EB-55DD57F0B93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CFE-467F-A97F-6450BD7B6D1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CFE-467F-A97F-6450BD7B6D1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CFE-467F-A97F-6450BD7B6D1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CFE-467F-A97F-6450BD7B6D1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CFE-467F-A97F-6450BD7B6D1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9CFE-467F-A97F-6450BD7B6D1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FE-467F-A97F-6450BD7B6D1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CFE-467F-A97F-6450BD7B6D1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CFE-467F-A97F-6450BD7B6D1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9CFE-467F-A97F-6450BD7B6D1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FE-467F-A97F-6450BD7B6D1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CFE-467F-A97F-6450BD7B6D1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9CFE-467F-A97F-6450BD7B6D1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185-4676-9264-7563EE7DA67B}"/>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185-4676-9264-7563EE7DA67B}"/>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185-4676-9264-7563EE7DA67B}"/>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185-4676-9264-7563EE7DA67B}"/>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A185-4676-9264-7563EE7DA67B}"/>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A185-4676-9264-7563EE7DA67B}"/>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A185-4676-9264-7563EE7DA67B}"/>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A185-4676-9264-7563EE7DA67B}"/>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A185-4676-9264-7563EE7DA67B}"/>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A185-4676-9264-7563EE7DA67B}"/>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A185-4676-9264-7563EE7DA67B}"/>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A185-4676-9264-7563EE7DA67B}"/>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85-4676-9264-7563EE7DA67B}"/>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A185-4676-9264-7563EE7DA67B}"/>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A185-4676-9264-7563EE7DA67B}"/>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A185-4676-9264-7563EE7DA67B}"/>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185-4676-9264-7563EE7DA67B}"/>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A185-4676-9264-7563EE7DA67B}"/>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A185-4676-9264-7563EE7DA67B}"/>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185-4676-9264-7563EE7DA67B}"/>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(4)'!$E$103:$E$112</c:f>
              <c:numCache>
                <c:formatCode>#\ ##0\ _F_t</c:formatCode>
                <c:ptCount val="10"/>
                <c:pt idx="0">
                  <c:v>398271</c:v>
                </c:pt>
                <c:pt idx="1">
                  <c:v>130707</c:v>
                </c:pt>
                <c:pt idx="2">
                  <c:v>502251</c:v>
                </c:pt>
                <c:pt idx="3">
                  <c:v>143087</c:v>
                </c:pt>
                <c:pt idx="4">
                  <c:v>42616</c:v>
                </c:pt>
                <c:pt idx="5">
                  <c:v>223085</c:v>
                </c:pt>
                <c:pt idx="6">
                  <c:v>31548</c:v>
                </c:pt>
                <c:pt idx="7">
                  <c:v>119048</c:v>
                </c:pt>
                <c:pt idx="8">
                  <c:v>28680</c:v>
                </c:pt>
                <c:pt idx="9">
                  <c:v>10000</c:v>
                </c:pt>
              </c:numCache>
            </c:numRef>
          </c:val>
          <c:extLst>
            <c:ext xmlns:c16="http://schemas.microsoft.com/office/drawing/2014/chart" uri="{C3380CC4-5D6E-409C-BE32-E72D297353CC}">
              <c16:uniqueId val="{00000014-A185-4676-9264-7563EE7DA6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23'!$I$107:$I$110</c:f>
              <c:numCache>
                <c:formatCode>#\ ##0\ _F_t</c:formatCode>
                <c:ptCount val="4"/>
                <c:pt idx="0">
                  <c:v>1307120</c:v>
                </c:pt>
                <c:pt idx="1">
                  <c:v>32397</c:v>
                </c:pt>
                <c:pt idx="2">
                  <c:v>27055</c:v>
                </c:pt>
                <c:pt idx="3">
                  <c:v>288170</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23'!$J$107:$J$110</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1D-44A6-884B-3517D64B5A0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1D-44A6-884B-3517D64B5A0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1D-44A6-884B-3517D64B5A0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61D-44A6-884B-3517D64B5A00}"/>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D61D-44A6-884B-3517D64B5A00}"/>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D-44A6-884B-3517D64B5A00}"/>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D-44A6-884B-3517D64B5A00}"/>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D61D-44A6-884B-3517D64B5A00}"/>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(4)'!$I$109:$I$112</c:f>
              <c:numCache>
                <c:formatCode>#\ ##0\ _F_t</c:formatCode>
                <c:ptCount val="4"/>
                <c:pt idx="0">
                  <c:v>1629293</c:v>
                </c:pt>
                <c:pt idx="1">
                  <c:v>308504</c:v>
                </c:pt>
                <c:pt idx="2">
                  <c:v>395675</c:v>
                </c:pt>
                <c:pt idx="3">
                  <c:v>1783024</c:v>
                </c:pt>
              </c:numCache>
            </c:numRef>
          </c:val>
          <c:extLst>
            <c:ext xmlns:c16="http://schemas.microsoft.com/office/drawing/2014/chart" uri="{C3380CC4-5D6E-409C-BE32-E72D297353CC}">
              <c16:uniqueId val="{00000008-D61D-44A6-884B-3517D64B5A00}"/>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D61D-44A6-884B-3517D64B5A0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D61D-44A6-884B-3517D64B5A0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D61D-44A6-884B-3517D64B5A0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D61D-44A6-884B-3517D64B5A0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D61D-44A6-884B-3517D64B5A0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D61D-44A6-884B-3517D64B5A0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D61D-44A6-884B-3517D64B5A0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D61D-44A6-884B-3517D64B5A0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(4)'!$J$109:$J$112</c:f>
              <c:numCache>
                <c:formatCode>#\ ##0\ _F_t</c:formatCode>
                <c:ptCount val="4"/>
              </c:numCache>
            </c:numRef>
          </c:val>
          <c:extLst>
            <c:ext xmlns:c16="http://schemas.microsoft.com/office/drawing/2014/chart" uri="{C3380CC4-5D6E-409C-BE32-E72D297353CC}">
              <c16:uniqueId val="{00000011-D61D-44A6-884B-3517D64B5A0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4E-4C01-AD39-4160BE1DF5F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4E-4C01-AD39-4160BE1DF5F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4E-4C01-AD39-4160BE1DF5F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84E-4C01-AD39-4160BE1DF5FA}"/>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A84E-4C01-AD39-4160BE1DF5FA}"/>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A84E-4C01-AD39-4160BE1DF5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84E-4C01-AD39-4160BE1DF5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84E-4C01-AD39-4160BE1DF5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84E-4C01-AD39-4160BE1DF5F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A84E-4C01-AD39-4160BE1DF5FA}"/>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84E-4C01-AD39-4160BE1DF5FA}"/>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84E-4C01-AD39-4160BE1DF5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(2)'!$D$95:$D$100</c:f>
              <c:numCache>
                <c:formatCode>#\ ##0\ _F_t</c:formatCode>
                <c:ptCount val="6"/>
                <c:pt idx="0">
                  <c:v>85000</c:v>
                </c:pt>
                <c:pt idx="1">
                  <c:v>65000</c:v>
                </c:pt>
                <c:pt idx="2">
                  <c:v>210000</c:v>
                </c:pt>
                <c:pt idx="3">
                  <c:v>290000</c:v>
                </c:pt>
                <c:pt idx="4">
                  <c:v>1500</c:v>
                </c:pt>
                <c:pt idx="5">
                  <c:v>5000</c:v>
                </c:pt>
              </c:numCache>
            </c:numRef>
          </c:val>
          <c:extLst>
            <c:ext xmlns:c16="http://schemas.microsoft.com/office/drawing/2014/chart" uri="{C3380CC4-5D6E-409C-BE32-E72D297353CC}">
              <c16:uniqueId val="{0000000C-A84E-4C01-AD39-4160BE1DF5FA}"/>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79-4413-A4E9-5C9A1B11AB6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79-4413-A4E9-5C9A1B11AB6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79-4413-A4E9-5C9A1B11AB6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79-4413-A4E9-5C9A1B11AB64}"/>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79-4413-A4E9-5C9A1B11AB64}"/>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79-4413-A4E9-5C9A1B11AB64}"/>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79-4413-A4E9-5C9A1B11AB64}"/>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79-4413-A4E9-5C9A1B11AB64}"/>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79-4413-A4E9-5C9A1B11AB64}"/>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79-4413-A4E9-5C9A1B11AB6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79-4413-A4E9-5C9A1B11AB64}"/>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79-4413-A4E9-5C9A1B11AB64}"/>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79-4413-A4E9-5C9A1B11AB6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79-4413-A4E9-5C9A1B11AB64}"/>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79-4413-A4E9-5C9A1B11AB64}"/>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79-4413-A4E9-5C9A1B11AB64}"/>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79-4413-A4E9-5C9A1B11AB64}"/>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79-4413-A4E9-5C9A1B11AB64}"/>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79-4413-A4E9-5C9A1B11AB64}"/>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79-4413-A4E9-5C9A1B11AB6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(2)'!$E$103:$E$112</c:f>
              <c:numCache>
                <c:formatCode>#\ ##0\ _F_t</c:formatCode>
                <c:ptCount val="10"/>
                <c:pt idx="0">
                  <c:v>388509</c:v>
                </c:pt>
                <c:pt idx="1">
                  <c:v>12427</c:v>
                </c:pt>
                <c:pt idx="2">
                  <c:v>403043</c:v>
                </c:pt>
                <c:pt idx="3">
                  <c:v>144785</c:v>
                </c:pt>
                <c:pt idx="4">
                  <c:v>21965</c:v>
                </c:pt>
                <c:pt idx="5">
                  <c:v>231924</c:v>
                </c:pt>
                <c:pt idx="6">
                  <c:v>29555</c:v>
                </c:pt>
                <c:pt idx="7">
                  <c:v>147480</c:v>
                </c:pt>
                <c:pt idx="8">
                  <c:v>11200</c:v>
                </c:pt>
                <c:pt idx="9">
                  <c:v>10000</c:v>
                </c:pt>
              </c:numCache>
            </c:numRef>
          </c:val>
          <c:extLst>
            <c:ext xmlns:c16="http://schemas.microsoft.com/office/drawing/2014/chart" uri="{C3380CC4-5D6E-409C-BE32-E72D297353CC}">
              <c16:uniqueId val="{00000014-3379-4413-A4E9-5C9A1B11AB6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C6C-43E4-9217-DF9B0E245EE2}"/>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C6C-43E4-9217-DF9B0E245EE2}"/>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C6C-43E4-9217-DF9B0E245EE2}"/>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C6C-43E4-9217-DF9B0E245EE2}"/>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EC6C-43E4-9217-DF9B0E245EE2}"/>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6C-43E4-9217-DF9B0E245EE2}"/>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6C-43E4-9217-DF9B0E245EE2}"/>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EC6C-43E4-9217-DF9B0E245EE2}"/>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(2)'!$I$109:$I$112</c:f>
              <c:numCache>
                <c:formatCode>#\ ##0\ _F_t</c:formatCode>
                <c:ptCount val="4"/>
                <c:pt idx="0">
                  <c:v>1400888</c:v>
                </c:pt>
                <c:pt idx="1">
                  <c:v>-435669</c:v>
                </c:pt>
                <c:pt idx="2">
                  <c:v>25000</c:v>
                </c:pt>
                <c:pt idx="3">
                  <c:v>0</c:v>
                </c:pt>
              </c:numCache>
            </c:numRef>
          </c:val>
          <c:extLst>
            <c:ext xmlns:c16="http://schemas.microsoft.com/office/drawing/2014/chart" uri="{C3380CC4-5D6E-409C-BE32-E72D297353CC}">
              <c16:uniqueId val="{00000008-EC6C-43E4-9217-DF9B0E245EE2}"/>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C6C-43E4-9217-DF9B0E245EE2}"/>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C6C-43E4-9217-DF9B0E245EE2}"/>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EC6C-43E4-9217-DF9B0E245EE2}"/>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EC6C-43E4-9217-DF9B0E245EE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EC6C-43E4-9217-DF9B0E245EE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EC6C-43E4-9217-DF9B0E245EE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EC6C-43E4-9217-DF9B0E245EE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EC6C-43E4-9217-DF9B0E245EE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(2)'!$J$109:$J$112</c:f>
              <c:numCache>
                <c:formatCode>#\ ##0\ _F_t</c:formatCode>
                <c:ptCount val="4"/>
              </c:numCache>
            </c:numRef>
          </c:val>
          <c:extLst>
            <c:ext xmlns:c16="http://schemas.microsoft.com/office/drawing/2014/chart" uri="{C3380CC4-5D6E-409C-BE32-E72D297353CC}">
              <c16:uniqueId val="{00000011-EC6C-43E4-9217-DF9B0E245EE2}"/>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I.mód.'!$D$95:$D$100</c:f>
              <c:numCache>
                <c:formatCode>#\ ##0\ _F_t</c:formatCode>
                <c:ptCount val="6"/>
                <c:pt idx="0">
                  <c:v>85000</c:v>
                </c:pt>
                <c:pt idx="1">
                  <c:v>65000</c:v>
                </c:pt>
                <c:pt idx="2">
                  <c:v>210000</c:v>
                </c:pt>
                <c:pt idx="3">
                  <c:v>330000</c:v>
                </c:pt>
                <c:pt idx="4">
                  <c:v>1500</c:v>
                </c:pt>
                <c:pt idx="5">
                  <c:v>5000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I.mód.'!$E$103:$E$112</c:f>
              <c:numCache>
                <c:formatCode>#\ ##0\ _F_t</c:formatCode>
                <c:ptCount val="10"/>
                <c:pt idx="0">
                  <c:v>405007</c:v>
                </c:pt>
                <c:pt idx="1">
                  <c:v>154160</c:v>
                </c:pt>
                <c:pt idx="2">
                  <c:v>561761</c:v>
                </c:pt>
                <c:pt idx="3">
                  <c:v>141564</c:v>
                </c:pt>
                <c:pt idx="4">
                  <c:v>45147</c:v>
                </c:pt>
                <c:pt idx="5">
                  <c:v>273839</c:v>
                </c:pt>
                <c:pt idx="6">
                  <c:v>31913</c:v>
                </c:pt>
                <c:pt idx="7">
                  <c:v>161925</c:v>
                </c:pt>
                <c:pt idx="8">
                  <c:v>25072</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I.mód.'!$I$109:$I$112</c:f>
              <c:numCache>
                <c:formatCode>#\ ##0\ _F_t</c:formatCode>
                <c:ptCount val="4"/>
                <c:pt idx="0">
                  <c:v>1812388</c:v>
                </c:pt>
                <c:pt idx="1">
                  <c:v>378075</c:v>
                </c:pt>
                <c:pt idx="2">
                  <c:v>385330</c:v>
                </c:pt>
                <c:pt idx="3">
                  <c:v>3557603</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I.mód.'!$J$109:$J$112</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(2)'!$D$95:$D$100</c:f>
              <c:numCache>
                <c:formatCode>#\ ##0\ _F_t</c:formatCode>
                <c:ptCount val="6"/>
                <c:pt idx="0">
                  <c:v>85000</c:v>
                </c:pt>
                <c:pt idx="1">
                  <c:v>65000</c:v>
                </c:pt>
                <c:pt idx="2">
                  <c:v>210000</c:v>
                </c:pt>
                <c:pt idx="3">
                  <c:v>330000</c:v>
                </c:pt>
                <c:pt idx="4">
                  <c:v>1500</c:v>
                </c:pt>
                <c:pt idx="5">
                  <c:v>5000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(2)'!$E$103:$E$112</c:f>
              <c:numCache>
                <c:formatCode>#\ ##0\ _F_t</c:formatCode>
                <c:ptCount val="10"/>
                <c:pt idx="0">
                  <c:v>406070</c:v>
                </c:pt>
                <c:pt idx="1">
                  <c:v>271077</c:v>
                </c:pt>
                <c:pt idx="2">
                  <c:v>561761</c:v>
                </c:pt>
                <c:pt idx="3">
                  <c:v>141564</c:v>
                </c:pt>
                <c:pt idx="4">
                  <c:v>45147</c:v>
                </c:pt>
                <c:pt idx="5">
                  <c:v>279956</c:v>
                </c:pt>
                <c:pt idx="6">
                  <c:v>31913</c:v>
                </c:pt>
                <c:pt idx="7">
                  <c:v>161925</c:v>
                </c:pt>
                <c:pt idx="8">
                  <c:v>25372</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(2)'!$I$109:$I$112</c:f>
              <c:numCache>
                <c:formatCode>#\ ##0\ _F_t</c:formatCode>
                <c:ptCount val="4"/>
                <c:pt idx="0">
                  <c:v>1936785</c:v>
                </c:pt>
                <c:pt idx="1">
                  <c:v>397813</c:v>
                </c:pt>
                <c:pt idx="2">
                  <c:v>554842</c:v>
                </c:pt>
                <c:pt idx="3">
                  <c:v>3619629</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(2)'!$J$109:$J$112</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III.mód.'!$D$95:$D$100</c:f>
              <c:numCache>
                <c:formatCode>#\ ##0\ _F_t</c:formatCode>
                <c:ptCount val="6"/>
                <c:pt idx="0">
                  <c:v>85000</c:v>
                </c:pt>
                <c:pt idx="1">
                  <c:v>65000</c:v>
                </c:pt>
                <c:pt idx="2">
                  <c:v>210000</c:v>
                </c:pt>
                <c:pt idx="3">
                  <c:v>330000</c:v>
                </c:pt>
                <c:pt idx="4">
                  <c:v>1500</c:v>
                </c:pt>
                <c:pt idx="5">
                  <c:v>5000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III.mód.'!$E$103:$E$112</c:f>
              <c:numCache>
                <c:formatCode>#\ ##0\ _F_t</c:formatCode>
                <c:ptCount val="10"/>
                <c:pt idx="0">
                  <c:v>419392</c:v>
                </c:pt>
                <c:pt idx="1">
                  <c:v>277151</c:v>
                </c:pt>
                <c:pt idx="2">
                  <c:v>564278</c:v>
                </c:pt>
                <c:pt idx="3">
                  <c:v>141564</c:v>
                </c:pt>
                <c:pt idx="4">
                  <c:v>45147</c:v>
                </c:pt>
                <c:pt idx="5">
                  <c:v>293492</c:v>
                </c:pt>
                <c:pt idx="6">
                  <c:v>31913</c:v>
                </c:pt>
                <c:pt idx="7">
                  <c:v>161925</c:v>
                </c:pt>
                <c:pt idx="8">
                  <c:v>25372</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III.mód.'!$I$109:$I$112</c:f>
              <c:numCache>
                <c:formatCode>#\ ##0\ _F_t</c:formatCode>
                <c:ptCount val="4"/>
                <c:pt idx="0">
                  <c:v>1972234</c:v>
                </c:pt>
                <c:pt idx="1">
                  <c:v>371168</c:v>
                </c:pt>
                <c:pt idx="2">
                  <c:v>588148</c:v>
                </c:pt>
                <c:pt idx="3">
                  <c:v>4478657</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III.mód.'!$J$109:$J$112</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23'!$E$103:$E$112</c:f>
              <c:numCache>
                <c:formatCode>#\ ##0\ _F_t</c:formatCode>
                <c:ptCount val="10"/>
                <c:pt idx="0">
                  <c:v>330564</c:v>
                </c:pt>
                <c:pt idx="1">
                  <c:v>103877</c:v>
                </c:pt>
                <c:pt idx="2">
                  <c:v>438076</c:v>
                </c:pt>
                <c:pt idx="3">
                  <c:v>63872</c:v>
                </c:pt>
                <c:pt idx="4">
                  <c:v>79212</c:v>
                </c:pt>
                <c:pt idx="5">
                  <c:v>195583</c:v>
                </c:pt>
                <c:pt idx="6">
                  <c:v>53418</c:v>
                </c:pt>
                <c:pt idx="7">
                  <c:v>99143</c:v>
                </c:pt>
                <c:pt idx="8">
                  <c:v>19200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23'!$I$109:$I$112</c:f>
              <c:numCache>
                <c:formatCode>#\ ##0\ _F_t</c:formatCode>
                <c:ptCount val="4"/>
                <c:pt idx="0">
                  <c:v>1392945</c:v>
                </c:pt>
                <c:pt idx="1">
                  <c:v>135373</c:v>
                </c:pt>
                <c:pt idx="2">
                  <c:v>162500</c:v>
                </c:pt>
                <c:pt idx="3">
                  <c:v>551963</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23'!$E$103:$E$112</c:f>
              <c:numCache>
                <c:formatCode>#\ ##0\ _F_t</c:formatCode>
                <c:ptCount val="10"/>
                <c:pt idx="0">
                  <c:v>333356</c:v>
                </c:pt>
                <c:pt idx="1">
                  <c:v>109840</c:v>
                </c:pt>
                <c:pt idx="2">
                  <c:v>438076</c:v>
                </c:pt>
                <c:pt idx="3">
                  <c:v>63872</c:v>
                </c:pt>
                <c:pt idx="4">
                  <c:v>79212</c:v>
                </c:pt>
                <c:pt idx="5">
                  <c:v>201647</c:v>
                </c:pt>
                <c:pt idx="6">
                  <c:v>57027</c:v>
                </c:pt>
                <c:pt idx="7">
                  <c:v>107143</c:v>
                </c:pt>
                <c:pt idx="8">
                  <c:v>19500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23'!$I$109:$I$112</c:f>
              <c:numCache>
                <c:formatCode>#\ ##0\ _F_t</c:formatCode>
                <c:ptCount val="4"/>
                <c:pt idx="0">
                  <c:v>1419673</c:v>
                </c:pt>
                <c:pt idx="1">
                  <c:v>104906</c:v>
                </c:pt>
                <c:pt idx="2">
                  <c:v>178120</c:v>
                </c:pt>
                <c:pt idx="3">
                  <c:v>561061</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7</xdr:col>
      <xdr:colOff>51027</xdr:colOff>
      <xdr:row>91</xdr:row>
      <xdr:rowOff>61205</xdr:rowOff>
    </xdr:from>
    <xdr:to>
      <xdr:col>9</xdr:col>
      <xdr:colOff>844220</xdr:colOff>
      <xdr:row>98</xdr:row>
      <xdr:rowOff>16076</xdr:rowOff>
    </xdr:to>
    <xdr:graphicFrame macro="">
      <xdr:nvGraphicFramePr>
        <xdr:cNvPr id="8" name="Diagram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111</xdr:row>
      <xdr:rowOff>36341</xdr:rowOff>
    </xdr:from>
    <xdr:to>
      <xdr:col>4</xdr:col>
      <xdr:colOff>825943</xdr:colOff>
      <xdr:row>125</xdr:row>
      <xdr:rowOff>107402</xdr:rowOff>
    </xdr:to>
    <xdr:graphicFrame macro="">
      <xdr:nvGraphicFramePr>
        <xdr:cNvPr id="9" name="Diagram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111</xdr:row>
      <xdr:rowOff>533</xdr:rowOff>
    </xdr:from>
    <xdr:to>
      <xdr:col>10</xdr:col>
      <xdr:colOff>0</xdr:colOff>
      <xdr:row>125</xdr:row>
      <xdr:rowOff>168741</xdr:rowOff>
    </xdr:to>
    <xdr:graphicFrame macro="">
      <xdr:nvGraphicFramePr>
        <xdr:cNvPr id="11" name="Diagram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958"/>
  <sheetViews>
    <sheetView topLeftCell="B112"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142</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123725</v>
      </c>
      <c r="D8" s="10">
        <f>SUM(D9:D10)</f>
        <v>31967</v>
      </c>
      <c r="E8" s="14" t="s">
        <v>40</v>
      </c>
      <c r="F8" s="26">
        <f>G8-C8-D8</f>
        <v>166489</v>
      </c>
      <c r="G8" s="56">
        <f t="shared" ref="G8:G17" si="0">H8+I8</f>
        <v>322181</v>
      </c>
      <c r="H8" s="10">
        <f>SUM(H9:H10)</f>
        <v>306151</v>
      </c>
      <c r="I8" s="10">
        <f t="shared" ref="I8:J8" si="1">SUM(I9:I10)</f>
        <v>16030</v>
      </c>
      <c r="J8" s="79">
        <f t="shared" si="1"/>
        <v>0</v>
      </c>
    </row>
    <row r="9" spans="2:10" ht="15.75" thickBot="1" x14ac:dyDescent="0.3">
      <c r="B9" s="9" t="s">
        <v>66</v>
      </c>
      <c r="C9" s="68">
        <f>122645+1080</f>
        <v>123725</v>
      </c>
      <c r="D9" s="68">
        <f>2000+1741+7000</f>
        <v>10741</v>
      </c>
      <c r="E9" s="15" t="s">
        <v>9</v>
      </c>
      <c r="F9" s="27">
        <f>G9-C9-D9</f>
        <v>129370</v>
      </c>
      <c r="G9" s="77">
        <f t="shared" si="0"/>
        <v>263836</v>
      </c>
      <c r="H9" s="68">
        <v>247806</v>
      </c>
      <c r="I9" s="68">
        <v>16030</v>
      </c>
      <c r="J9" s="80"/>
    </row>
    <row r="10" spans="2:10" ht="15.75" thickBot="1" x14ac:dyDescent="0.3">
      <c r="B10" s="9" t="s">
        <v>67</v>
      </c>
      <c r="C10" s="11"/>
      <c r="D10" s="68">
        <f>630+500+19836+260</f>
        <v>21226</v>
      </c>
      <c r="E10" s="15" t="s">
        <v>9</v>
      </c>
      <c r="F10" s="27">
        <f>G10-C10-D10</f>
        <v>37119</v>
      </c>
      <c r="G10" s="17">
        <f t="shared" si="0"/>
        <v>58345</v>
      </c>
      <c r="H10" s="68">
        <f>47046+6299+5000</f>
        <v>58345</v>
      </c>
      <c r="I10" s="68"/>
      <c r="J10" s="80"/>
    </row>
    <row r="11" spans="2:10" ht="26.25" thickBot="1" x14ac:dyDescent="0.3">
      <c r="B11" s="8" t="s">
        <v>12</v>
      </c>
      <c r="C11" s="10">
        <f>SUM(C12:C14)</f>
        <v>17350</v>
      </c>
      <c r="D11" s="10">
        <f>SUM(D12:D14)</f>
        <v>21065</v>
      </c>
      <c r="E11" s="14" t="s">
        <v>9</v>
      </c>
      <c r="F11" s="26">
        <f>G11-C11-D11</f>
        <v>32031</v>
      </c>
      <c r="G11" s="56">
        <f t="shared" si="0"/>
        <v>70446</v>
      </c>
      <c r="H11" s="10">
        <f>SUM(H12:H14)</f>
        <v>68708</v>
      </c>
      <c r="I11" s="10">
        <f t="shared" ref="I11:J11" si="2">SUM(I12:I14)</f>
        <v>1738</v>
      </c>
      <c r="J11" s="79">
        <f t="shared" si="2"/>
        <v>0</v>
      </c>
    </row>
    <row r="12" spans="2:10" ht="26.25" thickBot="1" x14ac:dyDescent="0.3">
      <c r="B12" s="9" t="s">
        <v>101</v>
      </c>
      <c r="C12" s="68">
        <v>17350</v>
      </c>
      <c r="D12" s="68">
        <v>42</v>
      </c>
      <c r="E12" s="15" t="s">
        <v>9</v>
      </c>
      <c r="F12" s="27">
        <f>G12-C12-D12-(D13-H13)</f>
        <v>15413</v>
      </c>
      <c r="G12" s="17">
        <f t="shared" si="0"/>
        <v>37875</v>
      </c>
      <c r="H12" s="11">
        <f>12160+14215+9049-1738+2451</f>
        <v>36137</v>
      </c>
      <c r="I12" s="11">
        <v>1738</v>
      </c>
      <c r="J12" s="80"/>
    </row>
    <row r="13" spans="2:10" ht="30" customHeight="1" thickBot="1" x14ac:dyDescent="0.3">
      <c r="B13" s="9" t="s">
        <v>102</v>
      </c>
      <c r="C13" s="11"/>
      <c r="D13" s="68">
        <f>13762+10360+2191-5290</f>
        <v>21023</v>
      </c>
      <c r="E13" s="186" t="s">
        <v>138</v>
      </c>
      <c r="F13" s="187"/>
      <c r="G13" s="17">
        <f t="shared" si="0"/>
        <v>15953</v>
      </c>
      <c r="H13" s="68">
        <v>15953</v>
      </c>
      <c r="I13" s="11"/>
      <c r="J13" s="80"/>
    </row>
    <row r="14" spans="2:10" ht="15.75" thickBot="1" x14ac:dyDescent="0.3">
      <c r="B14" s="9" t="s">
        <v>68</v>
      </c>
      <c r="C14" s="11"/>
      <c r="D14" s="11"/>
      <c r="E14" s="15" t="s">
        <v>9</v>
      </c>
      <c r="F14" s="27">
        <f>G14-C14-D14</f>
        <v>16618</v>
      </c>
      <c r="G14" s="17">
        <f t="shared" si="0"/>
        <v>16618</v>
      </c>
      <c r="H14" s="68">
        <v>16618</v>
      </c>
      <c r="I14" s="11"/>
      <c r="J14" s="80"/>
    </row>
    <row r="15" spans="2:10" ht="26.25" thickBot="1" x14ac:dyDescent="0.3">
      <c r="B15" s="8" t="s">
        <v>13</v>
      </c>
      <c r="C15" s="10">
        <f>SUM(C16:C19)</f>
        <v>299216</v>
      </c>
      <c r="D15" s="10">
        <f>SUM(D16:D19)</f>
        <v>38102</v>
      </c>
      <c r="E15" s="14" t="s">
        <v>35</v>
      </c>
      <c r="F15" s="26">
        <f>G15-C15-D15</f>
        <v>96345</v>
      </c>
      <c r="G15" s="56">
        <f t="shared" si="0"/>
        <v>433663</v>
      </c>
      <c r="H15" s="10">
        <f>SUM(H16:H19)</f>
        <v>387263</v>
      </c>
      <c r="I15" s="10">
        <f>SUM(I16:I19)</f>
        <v>46400</v>
      </c>
      <c r="J15" s="79">
        <f>SUM(J16:J19)</f>
        <v>74742</v>
      </c>
    </row>
    <row r="16" spans="2:10" ht="15.75" thickBot="1" x14ac:dyDescent="0.3">
      <c r="B16" s="9" t="s">
        <v>69</v>
      </c>
      <c r="C16" s="68">
        <v>205616</v>
      </c>
      <c r="D16" s="11"/>
      <c r="E16" s="15" t="s">
        <v>10</v>
      </c>
      <c r="F16" s="27">
        <f>G16-C16-D16</f>
        <v>67540</v>
      </c>
      <c r="G16" s="17">
        <f t="shared" si="0"/>
        <v>273156</v>
      </c>
      <c r="H16" s="68">
        <v>228301</v>
      </c>
      <c r="I16" s="68">
        <f>9442+27726+158+7486+43</f>
        <v>44855</v>
      </c>
      <c r="J16" s="80"/>
    </row>
    <row r="17" spans="2:10" ht="32.1" customHeight="1" thickBot="1" x14ac:dyDescent="0.3">
      <c r="B17" s="9" t="s">
        <v>70</v>
      </c>
      <c r="C17" s="68">
        <v>32026</v>
      </c>
      <c r="D17" s="68">
        <v>8116</v>
      </c>
      <c r="E17" s="15" t="s">
        <v>10</v>
      </c>
      <c r="F17" s="27">
        <f>G17-C17-D17</f>
        <v>8567</v>
      </c>
      <c r="G17" s="17">
        <f t="shared" si="0"/>
        <v>48709</v>
      </c>
      <c r="H17" s="68">
        <v>48709</v>
      </c>
      <c r="I17" s="68"/>
      <c r="J17" s="80"/>
    </row>
    <row r="18" spans="2:10" ht="26.25" thickBot="1" x14ac:dyDescent="0.3">
      <c r="B18" s="9" t="s">
        <v>71</v>
      </c>
      <c r="C18" s="68">
        <v>61574</v>
      </c>
      <c r="D18" s="68">
        <f>26666+3320</f>
        <v>29986</v>
      </c>
      <c r="E18" s="15" t="s">
        <v>10</v>
      </c>
      <c r="F18" s="69">
        <f t="shared" ref="F18:F19" si="3">G18-C18-D18</f>
        <v>18693</v>
      </c>
      <c r="G18" s="17">
        <f t="shared" ref="G18:G19" si="4">H18+I18</f>
        <v>110253</v>
      </c>
      <c r="H18" s="68">
        <v>110253</v>
      </c>
      <c r="I18" s="68"/>
      <c r="J18" s="80"/>
    </row>
    <row r="19" spans="2:10" ht="39" thickBot="1" x14ac:dyDescent="0.3">
      <c r="B19" s="9" t="s">
        <v>130</v>
      </c>
      <c r="C19" s="11"/>
      <c r="D19" s="11"/>
      <c r="E19" s="15" t="s">
        <v>10</v>
      </c>
      <c r="F19" s="27">
        <f t="shared" si="3"/>
        <v>1545</v>
      </c>
      <c r="G19" s="17">
        <f t="shared" si="4"/>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5">G24-C24-D24</f>
        <v>25390</v>
      </c>
      <c r="G24" s="17">
        <f>H24+I24</f>
        <v>25390</v>
      </c>
      <c r="H24" s="68"/>
      <c r="I24" s="68">
        <f>71209-5819-40000</f>
        <v>25390</v>
      </c>
      <c r="J24" s="84">
        <f>5819+40000</f>
        <v>45819</v>
      </c>
    </row>
    <row r="25" spans="2:10" ht="26.25" thickBot="1" x14ac:dyDescent="0.3">
      <c r="B25" s="41" t="s">
        <v>75</v>
      </c>
      <c r="C25" s="11"/>
      <c r="D25" s="11"/>
      <c r="E25" s="15" t="s">
        <v>9</v>
      </c>
      <c r="F25" s="27">
        <f t="shared" si="5"/>
        <v>0</v>
      </c>
      <c r="G25" s="17">
        <f t="shared" ref="G25" si="6">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7">SUM(I27:I29)</f>
        <v>79212</v>
      </c>
      <c r="J26" s="79">
        <f t="shared" si="7"/>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8">G29-C29-D29</f>
        <v>5063</v>
      </c>
      <c r="G29" s="17">
        <f t="shared" ref="G29" si="9">H29+I29</f>
        <v>59137</v>
      </c>
      <c r="H29" s="61"/>
      <c r="I29" s="68">
        <v>59137</v>
      </c>
      <c r="J29" s="80"/>
    </row>
    <row r="30" spans="2:10" ht="34.35" customHeight="1" thickBot="1" x14ac:dyDescent="0.3">
      <c r="B30" s="8" t="s">
        <v>15</v>
      </c>
      <c r="C30" s="10">
        <f>SUM(C31:C34)</f>
        <v>146790</v>
      </c>
      <c r="D30" s="10">
        <f>SUM(D31:D34)</f>
        <v>0</v>
      </c>
      <c r="E30" s="14" t="s">
        <v>9</v>
      </c>
      <c r="F30" s="26">
        <f>G30-C30-D30</f>
        <v>16995</v>
      </c>
      <c r="G30" s="56">
        <f>H30+I30</f>
        <v>163785</v>
      </c>
      <c r="H30" s="10">
        <f>SUM(H31:H34)</f>
        <v>163785</v>
      </c>
      <c r="I30" s="10">
        <f>SUM(I31:I34)</f>
        <v>0</v>
      </c>
      <c r="J30" s="79">
        <f>SUM(J31:J34)</f>
        <v>0</v>
      </c>
    </row>
    <row r="31" spans="2:10" ht="26.25" thickBot="1" x14ac:dyDescent="0.3">
      <c r="B31" s="9" t="s">
        <v>133</v>
      </c>
      <c r="C31" s="155">
        <v>7397</v>
      </c>
      <c r="D31" s="11"/>
      <c r="E31" s="15" t="s">
        <v>9</v>
      </c>
      <c r="F31" s="171">
        <f>(G31+G32)-C31</f>
        <v>5000</v>
      </c>
      <c r="G31" s="17">
        <f>H31+I31</f>
        <v>9278</v>
      </c>
      <c r="H31" s="68">
        <f>4278+5000</f>
        <v>9278</v>
      </c>
      <c r="I31" s="11"/>
      <c r="J31" s="80"/>
    </row>
    <row r="32" spans="2:10" ht="39" thickBot="1" x14ac:dyDescent="0.3">
      <c r="B32" s="9" t="s">
        <v>79</v>
      </c>
      <c r="C32" s="156"/>
      <c r="D32" s="11"/>
      <c r="E32" s="15" t="s">
        <v>9</v>
      </c>
      <c r="F32" s="172"/>
      <c r="G32" s="17">
        <f t="shared" ref="G32" si="10">H32+I32</f>
        <v>3119</v>
      </c>
      <c r="H32" s="87">
        <v>3119</v>
      </c>
      <c r="I32" s="11"/>
      <c r="J32" s="80"/>
    </row>
    <row r="33" spans="2:10" ht="39" thickBot="1" x14ac:dyDescent="0.3">
      <c r="B33" s="9" t="s">
        <v>128</v>
      </c>
      <c r="C33" s="68">
        <v>139331</v>
      </c>
      <c r="D33" s="11"/>
      <c r="E33" s="15" t="s">
        <v>9</v>
      </c>
      <c r="F33" s="27">
        <f>G33-C33-D33</f>
        <v>11995</v>
      </c>
      <c r="G33" s="17">
        <f>H33+I33</f>
        <v>151326</v>
      </c>
      <c r="H33" s="68">
        <f>139331+11995</f>
        <v>151326</v>
      </c>
      <c r="I33" s="11"/>
      <c r="J33" s="80"/>
    </row>
    <row r="34" spans="2:10" ht="26.25" thickBot="1" x14ac:dyDescent="0.3">
      <c r="B34" s="9" t="s">
        <v>80</v>
      </c>
      <c r="C34" s="68">
        <v>62</v>
      </c>
      <c r="D34" s="11"/>
      <c r="E34" s="15" t="s">
        <v>9</v>
      </c>
      <c r="F34" s="27">
        <f t="shared" ref="F34" si="11">G34-C34-D34</f>
        <v>0</v>
      </c>
      <c r="G34" s="17">
        <f t="shared" ref="G34" si="12">H34+I34</f>
        <v>62</v>
      </c>
      <c r="H34" s="68">
        <v>62</v>
      </c>
      <c r="I34" s="11"/>
      <c r="J34" s="80"/>
    </row>
    <row r="35" spans="2:10" ht="26.25" thickBot="1" x14ac:dyDescent="0.3">
      <c r="B35" s="8" t="s">
        <v>16</v>
      </c>
      <c r="C35" s="10">
        <f>SUM(C36:C39)</f>
        <v>26544</v>
      </c>
      <c r="D35" s="10">
        <f>SUM(D36:D39)</f>
        <v>0</v>
      </c>
      <c r="E35" s="14" t="s">
        <v>9</v>
      </c>
      <c r="F35" s="26">
        <f>G35-C35-D35</f>
        <v>26874</v>
      </c>
      <c r="G35" s="56">
        <f>H35+I35</f>
        <v>53418</v>
      </c>
      <c r="H35" s="10">
        <f>SUM(H36:H39)</f>
        <v>36707</v>
      </c>
      <c r="I35" s="10">
        <f t="shared" ref="I35:J35" si="13">SUM(I36:I39)</f>
        <v>16711</v>
      </c>
      <c r="J35" s="79">
        <f t="shared" si="13"/>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4">G38-C38-D38</f>
        <v>2254</v>
      </c>
      <c r="G38" s="17">
        <f t="shared" ref="G38:G39" si="15">H38+I38</f>
        <v>2254</v>
      </c>
      <c r="H38" s="68">
        <v>2254</v>
      </c>
      <c r="I38" s="68"/>
      <c r="J38" s="80"/>
    </row>
    <row r="39" spans="2:10" ht="15.75" thickBot="1" x14ac:dyDescent="0.3">
      <c r="B39" s="9" t="s">
        <v>84</v>
      </c>
      <c r="C39" s="11"/>
      <c r="D39" s="11"/>
      <c r="E39" s="67" t="s">
        <v>9</v>
      </c>
      <c r="F39" s="27">
        <f t="shared" si="14"/>
        <v>6166</v>
      </c>
      <c r="G39" s="17">
        <f t="shared" si="15"/>
        <v>6166</v>
      </c>
      <c r="H39" s="68">
        <f>5005+1161</f>
        <v>6166</v>
      </c>
      <c r="I39" s="68"/>
      <c r="J39" s="80"/>
    </row>
    <row r="40" spans="2:10" ht="15.75" thickBot="1" x14ac:dyDescent="0.3">
      <c r="B40" s="8" t="s">
        <v>17</v>
      </c>
      <c r="C40" s="10">
        <f>SUM(C41:C44)</f>
        <v>18964</v>
      </c>
      <c r="D40" s="10">
        <f>SUM(D41:D44)</f>
        <v>0</v>
      </c>
      <c r="E40" s="14" t="s">
        <v>9</v>
      </c>
      <c r="F40" s="26">
        <f>G40-C40-D40</f>
        <v>80179</v>
      </c>
      <c r="G40" s="56">
        <f>H40+I40</f>
        <v>99143</v>
      </c>
      <c r="H40" s="10">
        <f>SUM(H41:H44)</f>
        <v>1289</v>
      </c>
      <c r="I40" s="10">
        <f>SUM(I41:I44)</f>
        <v>97854</v>
      </c>
      <c r="J40" s="79">
        <f>SUM(J41:J44)</f>
        <v>4760</v>
      </c>
    </row>
    <row r="41" spans="2:10" ht="39" thickBot="1" x14ac:dyDescent="0.3">
      <c r="B41" s="9" t="s">
        <v>129</v>
      </c>
      <c r="C41" s="155">
        <f>12889+6075</f>
        <v>18964</v>
      </c>
      <c r="D41" s="11"/>
      <c r="E41" s="15" t="s">
        <v>9</v>
      </c>
      <c r="F41" s="27">
        <f>G41-C41-D41</f>
        <v>39729</v>
      </c>
      <c r="G41" s="17">
        <f>H41+I41</f>
        <v>58693</v>
      </c>
      <c r="H41" s="68"/>
      <c r="I41" s="68">
        <v>58693</v>
      </c>
      <c r="J41" s="80">
        <v>2372</v>
      </c>
    </row>
    <row r="42" spans="2:10" ht="15.75" thickBot="1" x14ac:dyDescent="0.3">
      <c r="B42" s="9" t="s">
        <v>85</v>
      </c>
      <c r="C42" s="157"/>
      <c r="D42" s="11"/>
      <c r="E42" s="15" t="s">
        <v>9</v>
      </c>
      <c r="F42" s="27">
        <f>G42-C42-D42</f>
        <v>11000</v>
      </c>
      <c r="G42" s="17">
        <f>H42+I42</f>
        <v>11000</v>
      </c>
      <c r="H42" s="68"/>
      <c r="I42" s="68">
        <v>11000</v>
      </c>
      <c r="J42" s="80"/>
    </row>
    <row r="43" spans="2:10" ht="26.25" thickBot="1" x14ac:dyDescent="0.3">
      <c r="B43" s="9" t="s">
        <v>86</v>
      </c>
      <c r="C43" s="157"/>
      <c r="D43" s="11"/>
      <c r="E43" s="15" t="s">
        <v>9</v>
      </c>
      <c r="F43" s="27">
        <f t="shared" ref="F43" si="16">G43-C43-D43</f>
        <v>10989</v>
      </c>
      <c r="G43" s="17">
        <f t="shared" ref="G43" si="17">H43+I43</f>
        <v>10989</v>
      </c>
      <c r="H43" s="68">
        <v>1289</v>
      </c>
      <c r="I43" s="68">
        <v>9700</v>
      </c>
      <c r="J43" s="80">
        <v>396</v>
      </c>
    </row>
    <row r="44" spans="2:10" ht="15.75" thickBot="1" x14ac:dyDescent="0.3">
      <c r="B44" s="53" t="s">
        <v>87</v>
      </c>
      <c r="C44" s="156"/>
      <c r="D44" s="47"/>
      <c r="E44" s="15" t="s">
        <v>9</v>
      </c>
      <c r="F44" s="54">
        <f t="shared" ref="F44" si="18">G44-C44-D44</f>
        <v>18461</v>
      </c>
      <c r="G44" s="55">
        <f t="shared" ref="G44" si="19">H44+I44</f>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142</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11400</v>
      </c>
      <c r="G52" s="56">
        <f>H52+I52</f>
        <v>11400</v>
      </c>
      <c r="H52" s="10">
        <f>SUM(H53:H56)</f>
        <v>11400</v>
      </c>
      <c r="I52" s="10">
        <f>SUM(I53:I56)</f>
        <v>0</v>
      </c>
      <c r="J52" s="79">
        <f>SUM(J53:J56)</f>
        <v>0</v>
      </c>
    </row>
    <row r="53" spans="2:10" ht="26.25" thickBot="1" x14ac:dyDescent="0.3">
      <c r="B53" s="9" t="s">
        <v>88</v>
      </c>
      <c r="C53" s="11"/>
      <c r="D53" s="11"/>
      <c r="E53" s="15" t="s">
        <v>19</v>
      </c>
      <c r="F53" s="27">
        <f>G53-C53-D53</f>
        <v>4000</v>
      </c>
      <c r="G53" s="17">
        <f>H53+I53</f>
        <v>4000</v>
      </c>
      <c r="H53" s="68">
        <v>4000</v>
      </c>
      <c r="I53" s="11"/>
      <c r="J53" s="80"/>
    </row>
    <row r="54" spans="2:10" ht="21" customHeight="1" thickBot="1" x14ac:dyDescent="0.3">
      <c r="B54" s="9" t="s">
        <v>89</v>
      </c>
      <c r="C54" s="11"/>
      <c r="D54" s="11"/>
      <c r="E54" s="15" t="s">
        <v>19</v>
      </c>
      <c r="F54" s="27">
        <f t="shared" ref="F54" si="20">G54-C54-D54</f>
        <v>1500</v>
      </c>
      <c r="G54" s="17">
        <f t="shared" ref="G54" si="21">H54+I54</f>
        <v>1500</v>
      </c>
      <c r="H54" s="68">
        <v>1500</v>
      </c>
      <c r="I54" s="11"/>
      <c r="J54" s="80"/>
    </row>
    <row r="55" spans="2:10" ht="26.25" thickBot="1" x14ac:dyDescent="0.3">
      <c r="B55" s="9" t="s">
        <v>90</v>
      </c>
      <c r="C55" s="11"/>
      <c r="D55" s="11"/>
      <c r="E55" s="15" t="s">
        <v>9</v>
      </c>
      <c r="F55" s="27">
        <f>G55-C55-D55</f>
        <v>4800</v>
      </c>
      <c r="G55" s="17">
        <f>H55+I55</f>
        <v>4800</v>
      </c>
      <c r="H55" s="68">
        <v>4800</v>
      </c>
      <c r="I55" s="11"/>
      <c r="J55" s="80"/>
    </row>
    <row r="56" spans="2:10" ht="26.25" thickBot="1" x14ac:dyDescent="0.3">
      <c r="B56" s="9" t="s">
        <v>91</v>
      </c>
      <c r="C56" s="11"/>
      <c r="D56" s="11"/>
      <c r="E56" s="15" t="s">
        <v>9</v>
      </c>
      <c r="F56" s="27">
        <f t="shared" ref="F56" si="22">G56-C56-D56</f>
        <v>1100</v>
      </c>
      <c r="G56" s="17">
        <f t="shared" ref="G56" si="23">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 si="24">SUM(I58:I61)</f>
        <v>0</v>
      </c>
      <c r="J57" s="79">
        <f t="shared" ref="J57" si="25">SUM(J58:J61)</f>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6">G60-C60-D60</f>
        <v>0</v>
      </c>
      <c r="G60" s="17">
        <f t="shared" ref="G60:G61" si="27">H60+I60</f>
        <v>0</v>
      </c>
      <c r="H60" s="11">
        <v>0</v>
      </c>
      <c r="I60" s="11"/>
      <c r="J60" s="80">
        <v>55459</v>
      </c>
    </row>
    <row r="61" spans="2:10" ht="21" customHeight="1" thickBot="1" x14ac:dyDescent="0.3">
      <c r="B61" s="9" t="s">
        <v>94</v>
      </c>
      <c r="C61" s="11"/>
      <c r="D61" s="11"/>
      <c r="E61" s="15" t="s">
        <v>9</v>
      </c>
      <c r="F61" s="27">
        <f>G61-C61-D61</f>
        <v>10000</v>
      </c>
      <c r="G61" s="17">
        <f t="shared" si="27"/>
        <v>10000</v>
      </c>
      <c r="H61" s="68">
        <v>10000</v>
      </c>
      <c r="I61" s="11"/>
      <c r="J61" s="82"/>
    </row>
    <row r="62" spans="2:10" ht="29.1" customHeight="1" thickBot="1" x14ac:dyDescent="0.3">
      <c r="B62" s="60" t="s">
        <v>30</v>
      </c>
      <c r="C62" s="21">
        <f>C57+C52+C40+C35+C30+C26+C20+C15+C11+C8</f>
        <v>703707</v>
      </c>
      <c r="D62" s="21">
        <f>D57+D52+D40+D35+D30+D26+D20+D15+D11+D8</f>
        <v>91134</v>
      </c>
      <c r="E62" s="43"/>
      <c r="F62" s="31">
        <f t="shared" si="26"/>
        <v>512279</v>
      </c>
      <c r="G62" s="44">
        <f>G57+G52+G40+G35+G30+G26+G20+G15+G11+G8</f>
        <v>1307120</v>
      </c>
      <c r="H62" s="21">
        <f>H57+H52+H40+H35+H30+H26+H20+H15+H11+H8</f>
        <v>985303</v>
      </c>
      <c r="I62" s="45">
        <f>I57+I52+I40+I35+I30+I26+I20+I15+I11+I8</f>
        <v>321817</v>
      </c>
      <c r="J62" s="46">
        <f>J57+J52+J40+J35+J30+J26+J20+J15+J11+J8</f>
        <v>278908</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0</v>
      </c>
      <c r="D66" s="10">
        <f>SUM(D67:D70)</f>
        <v>38231</v>
      </c>
      <c r="E66" s="14"/>
      <c r="F66" s="10">
        <f>SUM(F67:F70)</f>
        <v>13221</v>
      </c>
      <c r="G66" s="86">
        <f>SUM(G67:G70)</f>
        <v>32397</v>
      </c>
      <c r="H66" s="162"/>
      <c r="I66" s="163"/>
      <c r="J66" s="163"/>
    </row>
    <row r="67" spans="2:10" ht="45.75" thickBot="1" x14ac:dyDescent="0.3">
      <c r="B67" s="9" t="s">
        <v>95</v>
      </c>
      <c r="C67" s="11"/>
      <c r="D67" s="11"/>
      <c r="E67" s="66" t="s">
        <v>50</v>
      </c>
      <c r="F67" s="27">
        <v>10000</v>
      </c>
      <c r="G67" s="77">
        <f t="shared" ref="G67:G69" si="28">C67+D67+F67</f>
        <v>10000</v>
      </c>
      <c r="H67" s="162"/>
      <c r="I67" s="163"/>
      <c r="J67" s="163"/>
    </row>
    <row r="68" spans="2:10" ht="45.75" thickBot="1" x14ac:dyDescent="0.3">
      <c r="B68" s="9" t="s">
        <v>96</v>
      </c>
      <c r="C68" s="11"/>
      <c r="D68" s="68">
        <f>19591+5290</f>
        <v>24881</v>
      </c>
      <c r="E68" s="66" t="s">
        <v>47</v>
      </c>
      <c r="F68" s="27"/>
      <c r="G68" s="77">
        <f>C68+D68+F68-F75</f>
        <v>8826</v>
      </c>
      <c r="H68" s="162"/>
      <c r="I68" s="163"/>
      <c r="J68" s="163"/>
    </row>
    <row r="69" spans="2:10" ht="45.75" thickBot="1" x14ac:dyDescent="0.3">
      <c r="B69" s="9" t="s">
        <v>97</v>
      </c>
      <c r="C69" s="11"/>
      <c r="D69" s="11"/>
      <c r="E69" s="66" t="s">
        <v>150</v>
      </c>
      <c r="F69" s="27"/>
      <c r="G69" s="77">
        <f t="shared" si="28"/>
        <v>0</v>
      </c>
      <c r="H69" s="164"/>
      <c r="I69" s="165"/>
      <c r="J69" s="165"/>
    </row>
    <row r="70" spans="2:10" ht="44.1" customHeight="1" thickBot="1" x14ac:dyDescent="0.3">
      <c r="B70" s="9" t="s">
        <v>107</v>
      </c>
      <c r="C70" s="11"/>
      <c r="D70" s="68">
        <f>13350</f>
        <v>13350</v>
      </c>
      <c r="E70" s="66" t="s">
        <v>148</v>
      </c>
      <c r="F70" s="83">
        <f>G93</f>
        <v>3221</v>
      </c>
      <c r="G70" s="77">
        <f>C70+D70+F70-F73-F74-F78-F79-F80-F81-F82-F83-F84</f>
        <v>13571</v>
      </c>
      <c r="H70" s="173" t="s">
        <v>149</v>
      </c>
      <c r="I70" s="174"/>
      <c r="J70" s="174"/>
    </row>
    <row r="71" spans="2:10" ht="34.3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0</v>
      </c>
      <c r="E72" s="14"/>
      <c r="F72" s="26">
        <f>SUM(F73:F76)</f>
        <v>27055</v>
      </c>
      <c r="G72" s="56">
        <f>SUM(C72+D72+F72)</f>
        <v>27055</v>
      </c>
      <c r="H72" s="158" t="s">
        <v>131</v>
      </c>
      <c r="I72" s="159"/>
      <c r="J72" s="159"/>
    </row>
    <row r="73" spans="2:10" ht="27" customHeight="1" thickBot="1" x14ac:dyDescent="0.3">
      <c r="B73" s="9" t="s">
        <v>98</v>
      </c>
      <c r="C73" s="11"/>
      <c r="D73" s="11"/>
      <c r="E73" s="66" t="s">
        <v>51</v>
      </c>
      <c r="F73" s="69">
        <v>0</v>
      </c>
      <c r="G73" s="17">
        <f t="shared" ref="G73:G76" si="29">SUM(C73+D73+F73)</f>
        <v>0</v>
      </c>
      <c r="H73" s="129" t="s">
        <v>53</v>
      </c>
      <c r="I73" s="129" t="s">
        <v>64</v>
      </c>
      <c r="J73" s="129" t="s">
        <v>132</v>
      </c>
    </row>
    <row r="74" spans="2:10" ht="26.25" thickBot="1" x14ac:dyDescent="0.3">
      <c r="B74" s="9" t="s">
        <v>106</v>
      </c>
      <c r="C74" s="11"/>
      <c r="D74" s="11"/>
      <c r="E74" s="66" t="s">
        <v>51</v>
      </c>
      <c r="F74" s="69">
        <v>3000</v>
      </c>
      <c r="G74" s="77">
        <f t="shared" si="29"/>
        <v>3000</v>
      </c>
      <c r="H74" s="130"/>
      <c r="I74" s="130"/>
      <c r="J74" s="130"/>
    </row>
    <row r="75" spans="2:10" ht="26.25" thickBot="1" x14ac:dyDescent="0.3">
      <c r="B75" s="9" t="s">
        <v>99</v>
      </c>
      <c r="C75" s="11"/>
      <c r="D75" s="11"/>
      <c r="E75" s="66" t="s">
        <v>152</v>
      </c>
      <c r="F75" s="69">
        <v>16055</v>
      </c>
      <c r="G75" s="77">
        <f t="shared" si="29"/>
        <v>16055</v>
      </c>
      <c r="H75" s="130"/>
      <c r="I75" s="130"/>
      <c r="J75" s="130"/>
    </row>
    <row r="76" spans="2:10" ht="26.25" thickBot="1" x14ac:dyDescent="0.3">
      <c r="B76" s="9" t="s">
        <v>100</v>
      </c>
      <c r="C76" s="11"/>
      <c r="D76" s="11"/>
      <c r="E76" s="66" t="s">
        <v>9</v>
      </c>
      <c r="F76" s="69">
        <v>8000</v>
      </c>
      <c r="G76" s="77">
        <f t="shared" si="29"/>
        <v>8000</v>
      </c>
      <c r="H76" s="131"/>
      <c r="I76" s="131"/>
      <c r="J76" s="131"/>
    </row>
    <row r="77" spans="2:10" ht="26.25" thickBot="1" x14ac:dyDescent="0.3">
      <c r="B77" s="8" t="s">
        <v>57</v>
      </c>
      <c r="C77" s="10">
        <f>SUM(C78:C84)</f>
        <v>288170</v>
      </c>
      <c r="D77" s="10">
        <f>SUM(D78:D84)</f>
        <v>0</v>
      </c>
      <c r="E77" s="14"/>
      <c r="F77" s="10">
        <f>SUM(F78:F84)</f>
        <v>0</v>
      </c>
      <c r="G77" s="56">
        <f>SUM(C77+D77+F77)</f>
        <v>288170</v>
      </c>
      <c r="H77" s="62">
        <f>SUM(H78:H84)</f>
        <v>790000</v>
      </c>
      <c r="I77" s="65">
        <f>SUM(I78:I84)</f>
        <v>11830</v>
      </c>
      <c r="J77" s="65">
        <f>SUM(J78:J84)</f>
        <v>1090000</v>
      </c>
    </row>
    <row r="78" spans="2:10" ht="26.25" thickBot="1" x14ac:dyDescent="0.3">
      <c r="B78" s="9" t="s">
        <v>52</v>
      </c>
      <c r="C78" s="11"/>
      <c r="D78" s="11"/>
      <c r="E78" s="126" t="s">
        <v>151</v>
      </c>
      <c r="F78" s="27"/>
      <c r="G78" s="17">
        <f t="shared" ref="G78:G84" si="30">C78+D78+F78</f>
        <v>0</v>
      </c>
      <c r="H78" s="63"/>
      <c r="I78" s="63"/>
      <c r="J78" s="64">
        <f>SUM(G78:I78)</f>
        <v>0</v>
      </c>
    </row>
    <row r="79" spans="2:10" ht="15.75" thickBot="1" x14ac:dyDescent="0.3">
      <c r="B79" s="9" t="s">
        <v>26</v>
      </c>
      <c r="C79" s="68">
        <v>238170</v>
      </c>
      <c r="D79" s="11"/>
      <c r="E79" s="127"/>
      <c r="F79" s="27"/>
      <c r="G79" s="77">
        <f t="shared" si="30"/>
        <v>238170</v>
      </c>
      <c r="H79" s="63"/>
      <c r="I79" s="63">
        <v>11830</v>
      </c>
      <c r="J79" s="64">
        <f t="shared" ref="J79:J84" si="31">SUM(G79:I79)</f>
        <v>250000</v>
      </c>
    </row>
    <row r="80" spans="2:10" ht="15.75" thickBot="1" x14ac:dyDescent="0.3">
      <c r="B80" s="9" t="s">
        <v>25</v>
      </c>
      <c r="C80" s="68">
        <v>50000</v>
      </c>
      <c r="D80" s="11"/>
      <c r="E80" s="127"/>
      <c r="F80" s="27"/>
      <c r="G80" s="77">
        <f t="shared" si="30"/>
        <v>50000</v>
      </c>
      <c r="H80" s="63">
        <v>790000</v>
      </c>
      <c r="I80" s="63"/>
      <c r="J80" s="64">
        <f t="shared" si="31"/>
        <v>840000</v>
      </c>
    </row>
    <row r="81" spans="2:10" ht="15.75" thickBot="1" x14ac:dyDescent="0.3">
      <c r="B81" s="9" t="s">
        <v>62</v>
      </c>
      <c r="C81" s="11"/>
      <c r="D81" s="11"/>
      <c r="E81" s="127"/>
      <c r="F81" s="27"/>
      <c r="G81" s="17"/>
      <c r="H81" s="63"/>
      <c r="I81" s="63"/>
      <c r="J81" s="64"/>
    </row>
    <row r="82" spans="2:10" ht="15.75" thickBot="1" x14ac:dyDescent="0.3">
      <c r="B82" s="9" t="s">
        <v>61</v>
      </c>
      <c r="C82" s="11"/>
      <c r="D82" s="11"/>
      <c r="E82" s="127"/>
      <c r="F82" s="27"/>
      <c r="G82" s="17"/>
      <c r="H82" s="63"/>
      <c r="I82" s="63"/>
      <c r="J82" s="64"/>
    </row>
    <row r="83" spans="2:10" ht="15.75" thickBot="1" x14ac:dyDescent="0.3">
      <c r="B83" s="9" t="s">
        <v>27</v>
      </c>
      <c r="C83" s="11"/>
      <c r="D83" s="11"/>
      <c r="E83" s="127"/>
      <c r="F83" s="27"/>
      <c r="G83" s="17">
        <f t="shared" si="30"/>
        <v>0</v>
      </c>
      <c r="H83" s="63"/>
      <c r="I83" s="63"/>
      <c r="J83" s="64">
        <f t="shared" si="31"/>
        <v>0</v>
      </c>
    </row>
    <row r="84" spans="2:10" ht="15.75" thickBot="1" x14ac:dyDescent="0.3">
      <c r="B84" s="9" t="s">
        <v>135</v>
      </c>
      <c r="C84" s="11"/>
      <c r="D84" s="11"/>
      <c r="E84" s="128"/>
      <c r="F84" s="27"/>
      <c r="G84" s="17">
        <f t="shared" si="30"/>
        <v>0</v>
      </c>
      <c r="H84" s="63"/>
      <c r="I84" s="63"/>
      <c r="J84" s="64">
        <f t="shared" si="31"/>
        <v>0</v>
      </c>
    </row>
    <row r="85" spans="2:10" ht="16.350000000000001" customHeight="1" thickBot="1" x14ac:dyDescent="0.3">
      <c r="B85" s="181" t="s">
        <v>43</v>
      </c>
      <c r="C85" s="139" t="s">
        <v>56</v>
      </c>
      <c r="D85" s="139"/>
      <c r="E85" s="139"/>
      <c r="F85" s="139"/>
      <c r="G85" s="40">
        <f>G62</f>
        <v>1307120</v>
      </c>
      <c r="H85" s="193">
        <f>SUM(G85:G88)</f>
        <v>1654742</v>
      </c>
      <c r="I85" s="195" t="s">
        <v>141</v>
      </c>
      <c r="J85" s="195"/>
    </row>
    <row r="86" spans="2:10" ht="41.1" customHeight="1" thickBot="1" x14ac:dyDescent="0.3">
      <c r="B86" s="192"/>
      <c r="C86" s="139" t="s">
        <v>104</v>
      </c>
      <c r="D86" s="139"/>
      <c r="E86" s="139"/>
      <c r="F86" s="152"/>
      <c r="G86" s="40">
        <f>G66</f>
        <v>32397</v>
      </c>
      <c r="H86" s="194"/>
      <c r="I86" s="196"/>
      <c r="J86" s="196"/>
    </row>
    <row r="87" spans="2:10" ht="16.350000000000001" customHeight="1" thickBot="1" x14ac:dyDescent="0.3">
      <c r="B87" s="192"/>
      <c r="C87" s="139" t="s">
        <v>55</v>
      </c>
      <c r="D87" s="139"/>
      <c r="E87" s="139"/>
      <c r="F87" s="152"/>
      <c r="G87" s="40">
        <f>G72</f>
        <v>27055</v>
      </c>
      <c r="H87" s="194"/>
      <c r="I87" s="197"/>
      <c r="J87" s="197"/>
    </row>
    <row r="88" spans="2:10" ht="19.350000000000001" customHeight="1" thickBot="1" x14ac:dyDescent="0.3">
      <c r="B88" s="169"/>
      <c r="C88" s="139" t="s">
        <v>60</v>
      </c>
      <c r="D88" s="139"/>
      <c r="E88" s="139"/>
      <c r="F88" s="139"/>
      <c r="G88" s="42">
        <f>G77</f>
        <v>288170</v>
      </c>
      <c r="H88" s="194"/>
      <c r="I88" s="198">
        <f>G93</f>
        <v>3221</v>
      </c>
      <c r="J88" s="198"/>
    </row>
    <row r="89" spans="2:10" ht="10.35" customHeight="1" x14ac:dyDescent="0.25">
      <c r="B89" s="5"/>
      <c r="C89" s="13"/>
      <c r="D89" s="13"/>
      <c r="E89" s="13"/>
      <c r="F89" s="28"/>
      <c r="G89" s="16"/>
      <c r="H89" s="13"/>
      <c r="I89" s="13"/>
      <c r="J89" s="28"/>
    </row>
    <row r="90" spans="2:10" ht="9" customHeight="1" thickBot="1" x14ac:dyDescent="0.3">
      <c r="B90" s="5"/>
      <c r="C90" s="13"/>
      <c r="D90" s="13"/>
      <c r="E90" s="13"/>
      <c r="F90" s="28"/>
      <c r="G90" s="16"/>
      <c r="H90" s="13"/>
      <c r="I90" s="13"/>
      <c r="J90" s="28"/>
    </row>
    <row r="91" spans="2:10" ht="25.35" customHeight="1" thickBot="1" x14ac:dyDescent="0.3">
      <c r="B91" s="177" t="s">
        <v>142</v>
      </c>
      <c r="C91" s="177"/>
      <c r="D91" s="177"/>
      <c r="E91" s="177"/>
      <c r="F91" s="177"/>
      <c r="G91" s="177"/>
      <c r="H91" s="177"/>
      <c r="I91" s="177"/>
      <c r="J91" s="177"/>
    </row>
    <row r="92" spans="2:10" ht="45.75" thickBot="1" x14ac:dyDescent="0.3">
      <c r="B92" s="7" t="s">
        <v>32</v>
      </c>
      <c r="C92" s="38" t="s">
        <v>20</v>
      </c>
      <c r="D92" s="37" t="s">
        <v>58</v>
      </c>
      <c r="E92" s="37" t="s">
        <v>39</v>
      </c>
      <c r="F92" s="39" t="s">
        <v>37</v>
      </c>
      <c r="G92" s="39" t="s">
        <v>103</v>
      </c>
      <c r="H92" s="32"/>
      <c r="I92" s="32"/>
      <c r="J92" s="32"/>
    </row>
    <row r="93" spans="2:10" ht="48.75" thickBot="1" x14ac:dyDescent="0.3">
      <c r="B93" s="59" t="s">
        <v>108</v>
      </c>
      <c r="C93" s="12" t="s">
        <v>10</v>
      </c>
      <c r="D93" s="75">
        <v>78000</v>
      </c>
      <c r="E93" s="23">
        <f>F16+F17+F18+F19+F21+F28+F29+F37</f>
        <v>126353</v>
      </c>
      <c r="F93" s="19">
        <f>D93-E93</f>
        <v>-48353</v>
      </c>
      <c r="G93" s="140">
        <f>F93+F94+F97</f>
        <v>3221</v>
      </c>
      <c r="H93" s="33"/>
      <c r="I93" s="33"/>
      <c r="J93" s="33"/>
    </row>
    <row r="94" spans="2:10" ht="16.350000000000001" customHeight="1" thickBot="1" x14ac:dyDescent="0.3">
      <c r="B94" s="22" t="s">
        <v>109</v>
      </c>
      <c r="C94" s="190" t="s">
        <v>9</v>
      </c>
      <c r="D94" s="68">
        <v>60000</v>
      </c>
      <c r="E94" s="190">
        <f>F9+F10+F12+F14+F22+F23+F24+F25+F27+F31+F33+F34+F36+F38+F39+F41+F42+F43+F44+F55+F56+F58+F59+F60+F61+F67+F76</f>
        <v>398426</v>
      </c>
      <c r="F94" s="190">
        <f>D94+D95+D96-E94</f>
        <v>51574</v>
      </c>
      <c r="G94" s="141"/>
      <c r="H94" s="33"/>
      <c r="I94" s="33"/>
      <c r="J94" s="33"/>
    </row>
    <row r="95" spans="2:10" ht="15.75" thickBot="1" x14ac:dyDescent="0.3">
      <c r="B95" s="22" t="s">
        <v>126</v>
      </c>
      <c r="C95" s="191"/>
      <c r="D95" s="68">
        <v>200000</v>
      </c>
      <c r="E95" s="191"/>
      <c r="F95" s="191"/>
      <c r="G95" s="141"/>
      <c r="H95" s="33"/>
      <c r="I95" s="33"/>
      <c r="J95" s="33"/>
    </row>
    <row r="96" spans="2:10" ht="15.75" thickBot="1" x14ac:dyDescent="0.3">
      <c r="B96" s="22" t="s">
        <v>125</v>
      </c>
      <c r="C96" s="191"/>
      <c r="D96" s="68">
        <v>190000</v>
      </c>
      <c r="E96" s="191"/>
      <c r="F96" s="191"/>
      <c r="G96" s="141"/>
      <c r="H96" s="33"/>
      <c r="I96" s="33"/>
      <c r="J96" s="33"/>
    </row>
    <row r="97" spans="2:10" ht="15.75" thickBot="1" x14ac:dyDescent="0.3">
      <c r="B97" s="22" t="s">
        <v>110</v>
      </c>
      <c r="C97" s="190" t="s">
        <v>19</v>
      </c>
      <c r="D97" s="11">
        <v>1500</v>
      </c>
      <c r="E97" s="190">
        <f>F53+F54</f>
        <v>5500</v>
      </c>
      <c r="F97" s="190">
        <f>D97+D98-E97</f>
        <v>0</v>
      </c>
      <c r="G97" s="141"/>
      <c r="H97" s="33"/>
      <c r="I97" s="33"/>
      <c r="J97" s="33"/>
    </row>
    <row r="98" spans="2:10" ht="15.75" thickBot="1" x14ac:dyDescent="0.3">
      <c r="B98" s="22" t="s">
        <v>31</v>
      </c>
      <c r="C98" s="191"/>
      <c r="D98" s="11">
        <v>4000</v>
      </c>
      <c r="E98" s="191"/>
      <c r="F98" s="191"/>
      <c r="G98" s="141"/>
      <c r="H98" s="33"/>
      <c r="I98" s="33"/>
      <c r="J98" s="33"/>
    </row>
    <row r="99" spans="2:10" ht="15.75" thickBot="1" x14ac:dyDescent="0.3">
      <c r="B99" s="189" t="s">
        <v>63</v>
      </c>
      <c r="C99" s="189"/>
      <c r="D99" s="85">
        <f>SUM(D93:D98)</f>
        <v>533500</v>
      </c>
      <c r="E99" s="190"/>
      <c r="F99" s="190"/>
      <c r="G99" s="190"/>
      <c r="H99" s="153" t="s">
        <v>144</v>
      </c>
      <c r="I99" s="154"/>
      <c r="J99" s="154"/>
    </row>
    <row r="100" spans="2:10" ht="15.75" thickBot="1" x14ac:dyDescent="0.3">
      <c r="B100" s="145" t="s">
        <v>33</v>
      </c>
      <c r="C100" s="145"/>
      <c r="D100" s="145"/>
      <c r="E100" s="146"/>
      <c r="F100" s="147" t="s">
        <v>65</v>
      </c>
      <c r="G100" s="147"/>
      <c r="H100" s="147"/>
      <c r="I100" s="147"/>
      <c r="J100" s="147"/>
    </row>
    <row r="101" spans="2:10" ht="15.75" thickBot="1" x14ac:dyDescent="0.3">
      <c r="B101" s="148" t="s">
        <v>111</v>
      </c>
      <c r="C101" s="148"/>
      <c r="D101" s="148"/>
      <c r="E101" s="57">
        <f>G8</f>
        <v>322181</v>
      </c>
      <c r="F101" s="133" t="s">
        <v>137</v>
      </c>
      <c r="G101" s="134"/>
      <c r="H101" s="134"/>
      <c r="I101" s="134"/>
      <c r="J101" s="134"/>
    </row>
    <row r="102" spans="2:10" ht="15.75" thickBot="1" x14ac:dyDescent="0.3">
      <c r="B102" s="148" t="s">
        <v>112</v>
      </c>
      <c r="C102" s="148"/>
      <c r="D102" s="148"/>
      <c r="E102" s="57">
        <f>G11</f>
        <v>70446</v>
      </c>
      <c r="F102" s="135"/>
      <c r="G102" s="136"/>
      <c r="H102" s="136"/>
      <c r="I102" s="136"/>
      <c r="J102" s="136"/>
    </row>
    <row r="103" spans="2:10" ht="15.75" thickBot="1" x14ac:dyDescent="0.3">
      <c r="B103" s="148" t="s">
        <v>113</v>
      </c>
      <c r="C103" s="148"/>
      <c r="D103" s="148"/>
      <c r="E103" s="57">
        <f>G15</f>
        <v>433663</v>
      </c>
      <c r="F103" s="135"/>
      <c r="G103" s="136"/>
      <c r="H103" s="136"/>
      <c r="I103" s="136"/>
      <c r="J103" s="136"/>
    </row>
    <row r="104" spans="2:10" ht="15.75" thickBot="1" x14ac:dyDescent="0.3">
      <c r="B104" s="148" t="s">
        <v>114</v>
      </c>
      <c r="C104" s="148"/>
      <c r="D104" s="148"/>
      <c r="E104" s="57">
        <f>G20</f>
        <v>63872</v>
      </c>
      <c r="F104" s="135"/>
      <c r="G104" s="136"/>
      <c r="H104" s="136"/>
      <c r="I104" s="136"/>
      <c r="J104" s="136"/>
    </row>
    <row r="105" spans="2:10" ht="15.75" thickBot="1" x14ac:dyDescent="0.3">
      <c r="B105" s="148" t="s">
        <v>115</v>
      </c>
      <c r="C105" s="148"/>
      <c r="D105" s="148"/>
      <c r="E105" s="57">
        <f>G26</f>
        <v>79212</v>
      </c>
      <c r="F105" s="137"/>
      <c r="G105" s="138"/>
      <c r="H105" s="138"/>
      <c r="I105" s="138"/>
      <c r="J105" s="138"/>
    </row>
    <row r="106" spans="2:10" ht="15.75" thickBot="1" x14ac:dyDescent="0.3">
      <c r="B106" s="148" t="s">
        <v>116</v>
      </c>
      <c r="C106" s="148"/>
      <c r="D106" s="148"/>
      <c r="E106" s="57">
        <f>G30</f>
        <v>163785</v>
      </c>
      <c r="F106" s="132" t="s">
        <v>143</v>
      </c>
      <c r="G106" s="132"/>
      <c r="H106" s="132"/>
      <c r="I106" s="132"/>
      <c r="J106" s="132"/>
    </row>
    <row r="107" spans="2:10" ht="15.75" thickBot="1" x14ac:dyDescent="0.3">
      <c r="B107" s="148" t="s">
        <v>117</v>
      </c>
      <c r="C107" s="148"/>
      <c r="D107" s="148"/>
      <c r="E107" s="57">
        <f>G35</f>
        <v>53418</v>
      </c>
      <c r="F107" s="151" t="s">
        <v>121</v>
      </c>
      <c r="G107" s="149"/>
      <c r="H107" s="149"/>
      <c r="I107" s="150">
        <f>E111</f>
        <v>1307120</v>
      </c>
      <c r="J107" s="150"/>
    </row>
    <row r="108" spans="2:10" ht="15.75" thickBot="1" x14ac:dyDescent="0.3">
      <c r="B108" s="148" t="s">
        <v>118</v>
      </c>
      <c r="C108" s="148"/>
      <c r="D108" s="148"/>
      <c r="E108" s="57">
        <f>G40</f>
        <v>99143</v>
      </c>
      <c r="F108" s="149" t="s">
        <v>122</v>
      </c>
      <c r="G108" s="149"/>
      <c r="H108" s="149"/>
      <c r="I108" s="150">
        <f>G66</f>
        <v>32397</v>
      </c>
      <c r="J108" s="150"/>
    </row>
    <row r="109" spans="2:10" ht="15.75" thickBot="1" x14ac:dyDescent="0.3">
      <c r="B109" s="148" t="s">
        <v>119</v>
      </c>
      <c r="C109" s="148"/>
      <c r="D109" s="148"/>
      <c r="E109" s="57">
        <f>G52</f>
        <v>11400</v>
      </c>
      <c r="F109" s="149" t="s">
        <v>123</v>
      </c>
      <c r="G109" s="149"/>
      <c r="H109" s="149"/>
      <c r="I109" s="150">
        <f>G72</f>
        <v>27055</v>
      </c>
      <c r="J109" s="150"/>
    </row>
    <row r="110" spans="2:10" ht="29.1" customHeight="1" thickBot="1" x14ac:dyDescent="0.3">
      <c r="B110" s="148" t="s">
        <v>120</v>
      </c>
      <c r="C110" s="148"/>
      <c r="D110" s="148"/>
      <c r="E110" s="57">
        <f>G57</f>
        <v>10000</v>
      </c>
      <c r="F110" s="149" t="s">
        <v>124</v>
      </c>
      <c r="G110" s="149"/>
      <c r="H110" s="149"/>
      <c r="I110" s="150">
        <f>G77</f>
        <v>288170</v>
      </c>
      <c r="J110" s="150"/>
    </row>
    <row r="111" spans="2:10" ht="15.75" thickBot="1" x14ac:dyDescent="0.3">
      <c r="B111" s="142" t="s">
        <v>30</v>
      </c>
      <c r="C111" s="142"/>
      <c r="D111" s="142"/>
      <c r="E111" s="58">
        <f>SUM(E101:E110)</f>
        <v>1307120</v>
      </c>
      <c r="F111" s="143" t="s">
        <v>54</v>
      </c>
      <c r="G111" s="143"/>
      <c r="H111" s="143"/>
      <c r="I111" s="144">
        <f>SUM(I107:J110)</f>
        <v>1654742</v>
      </c>
      <c r="J111" s="144"/>
    </row>
    <row r="112" spans="2:10" x14ac:dyDescent="0.25">
      <c r="B112" s="5"/>
      <c r="C112" s="13"/>
      <c r="D112" s="13"/>
      <c r="E112" s="13"/>
      <c r="F112" s="28"/>
      <c r="G112" s="16"/>
      <c r="H112" s="13"/>
      <c r="I112" s="13"/>
      <c r="J112" s="28"/>
    </row>
    <row r="113" spans="2:10" x14ac:dyDescent="0.25">
      <c r="B113" s="5"/>
      <c r="C113" s="13"/>
      <c r="D113" s="13"/>
      <c r="E113" s="13"/>
      <c r="F113" s="28"/>
      <c r="G113" s="16"/>
      <c r="H113" s="13"/>
      <c r="I113" s="13"/>
      <c r="J113" s="28"/>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row>
    <row r="116" spans="2:10" x14ac:dyDescent="0.25">
      <c r="B116" s="5"/>
      <c r="C116" s="13"/>
      <c r="D116" s="13"/>
      <c r="E116" s="13"/>
      <c r="F116" s="28"/>
      <c r="G116" s="16"/>
      <c r="H116" s="13"/>
      <c r="I116" s="13"/>
      <c r="J116" s="28"/>
    </row>
    <row r="117" spans="2:10" x14ac:dyDescent="0.25">
      <c r="B117" s="5"/>
      <c r="C117" s="13"/>
      <c r="D117" s="13"/>
      <c r="F117" s="28"/>
      <c r="G117" s="16"/>
      <c r="H117" s="13"/>
      <c r="I117" s="13"/>
      <c r="J117" s="28"/>
    </row>
    <row r="118" spans="2:10" x14ac:dyDescent="0.25">
      <c r="B118" s="5"/>
      <c r="C118" s="13"/>
      <c r="D118" s="13"/>
      <c r="E118" s="13"/>
      <c r="F118" s="28"/>
      <c r="G118" s="16"/>
      <c r="H118" s="13"/>
      <c r="I118" s="13"/>
      <c r="J118" s="28"/>
    </row>
    <row r="119" spans="2:10" x14ac:dyDescent="0.25">
      <c r="B119" s="5"/>
      <c r="C119" s="13"/>
      <c r="D119" s="13"/>
      <c r="E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2"/>
      <c r="F125" s="29"/>
      <c r="G125" s="3"/>
      <c r="H125" s="2"/>
      <c r="I125" s="2"/>
      <c r="J125" s="29"/>
    </row>
    <row r="126" spans="2:10" ht="15.75" thickBot="1" x14ac:dyDescent="0.3">
      <c r="B126" s="5"/>
      <c r="C126" s="13"/>
      <c r="D126" s="13"/>
      <c r="E126" s="2"/>
      <c r="F126" s="29"/>
      <c r="G126" s="3"/>
      <c r="H126" s="2"/>
      <c r="I126" s="2"/>
      <c r="J126" s="29"/>
    </row>
    <row r="127" spans="2:10" ht="15.75" thickBot="1" x14ac:dyDescent="0.3">
      <c r="B127" s="124" t="s">
        <v>145</v>
      </c>
      <c r="C127" s="125"/>
      <c r="D127" s="125"/>
      <c r="E127" s="70"/>
      <c r="F127" s="124" t="s">
        <v>146</v>
      </c>
      <c r="G127" s="125"/>
      <c r="H127" s="125"/>
      <c r="I127" s="125"/>
      <c r="J127" s="125"/>
    </row>
    <row r="128" spans="2:10" x14ac:dyDescent="0.25">
      <c r="B128" s="5"/>
      <c r="C128" s="13"/>
      <c r="D128" s="13"/>
      <c r="E128" s="2"/>
      <c r="F128" s="29"/>
      <c r="G128" s="3"/>
      <c r="H128" s="2"/>
      <c r="I128" s="2"/>
      <c r="J128" s="29"/>
    </row>
    <row r="129" spans="2:10" x14ac:dyDescent="0.25">
      <c r="B129" s="5"/>
      <c r="C129" s="13"/>
      <c r="D129" s="13"/>
      <c r="E129" s="2"/>
      <c r="F129" s="29"/>
      <c r="G129" s="3"/>
      <c r="H129" s="2"/>
      <c r="I129" s="2"/>
      <c r="J129" s="2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2"/>
      <c r="H193" s="2"/>
      <c r="I193" s="2"/>
      <c r="J193" s="29"/>
    </row>
    <row r="194" spans="2:10" x14ac:dyDescent="0.25">
      <c r="B194" s="5"/>
      <c r="C194" s="13"/>
      <c r="D194" s="13"/>
      <c r="E194" s="2"/>
      <c r="F194" s="29"/>
      <c r="G194" s="2"/>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2"/>
      <c r="D222" s="2"/>
      <c r="E222" s="2"/>
      <c r="F222" s="29"/>
      <c r="G222" s="2"/>
      <c r="H222" s="2"/>
      <c r="I222" s="2"/>
      <c r="J222" s="29"/>
    </row>
    <row r="223" spans="2:10" x14ac:dyDescent="0.25">
      <c r="B223" s="5"/>
      <c r="C223" s="2"/>
      <c r="D223" s="2"/>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sheetData>
  <mergeCells count="76">
    <mergeCell ref="E13:F13"/>
    <mergeCell ref="B2:J2"/>
    <mergeCell ref="B91:J91"/>
    <mergeCell ref="C86:F86"/>
    <mergeCell ref="B99:C99"/>
    <mergeCell ref="E99:G99"/>
    <mergeCell ref="E94:E96"/>
    <mergeCell ref="E97:E98"/>
    <mergeCell ref="F94:F96"/>
    <mergeCell ref="F97:F98"/>
    <mergeCell ref="C94:C96"/>
    <mergeCell ref="C97:C98"/>
    <mergeCell ref="B85:B88"/>
    <mergeCell ref="H85:H88"/>
    <mergeCell ref="I85:J87"/>
    <mergeCell ref="I88:J88"/>
    <mergeCell ref="B4:B6"/>
    <mergeCell ref="B3:J3"/>
    <mergeCell ref="C6:F6"/>
    <mergeCell ref="G6:I6"/>
    <mergeCell ref="C4:I4"/>
    <mergeCell ref="I5:J5"/>
    <mergeCell ref="C5:H5"/>
    <mergeCell ref="C31:C32"/>
    <mergeCell ref="C41:C44"/>
    <mergeCell ref="H72:J72"/>
    <mergeCell ref="H65:J69"/>
    <mergeCell ref="B63:F63"/>
    <mergeCell ref="H63:J63"/>
    <mergeCell ref="C50:F50"/>
    <mergeCell ref="G50:I50"/>
    <mergeCell ref="F31:F32"/>
    <mergeCell ref="H70:J71"/>
    <mergeCell ref="B47:J47"/>
    <mergeCell ref="B48:B50"/>
    <mergeCell ref="C48:I48"/>
    <mergeCell ref="C49:H49"/>
    <mergeCell ref="I49:J49"/>
    <mergeCell ref="C64:F64"/>
    <mergeCell ref="G64:J64"/>
    <mergeCell ref="C87:F87"/>
    <mergeCell ref="C88:F88"/>
    <mergeCell ref="B105:D105"/>
    <mergeCell ref="H99:J99"/>
    <mergeCell ref="B106:D106"/>
    <mergeCell ref="B102:D102"/>
    <mergeCell ref="B103:D103"/>
    <mergeCell ref="B101:D101"/>
    <mergeCell ref="B104:D104"/>
    <mergeCell ref="B110:D110"/>
    <mergeCell ref="F110:H110"/>
    <mergeCell ref="I110:J110"/>
    <mergeCell ref="B107:D107"/>
    <mergeCell ref="F107:H107"/>
    <mergeCell ref="I107:J107"/>
    <mergeCell ref="B108:D108"/>
    <mergeCell ref="F108:H108"/>
    <mergeCell ref="I108:J108"/>
    <mergeCell ref="F109:H109"/>
    <mergeCell ref="I109:J109"/>
    <mergeCell ref="B127:D127"/>
    <mergeCell ref="F127:J127"/>
    <mergeCell ref="E78:E84"/>
    <mergeCell ref="I73:I76"/>
    <mergeCell ref="J73:J76"/>
    <mergeCell ref="F106:J106"/>
    <mergeCell ref="F101:J105"/>
    <mergeCell ref="C85:F85"/>
    <mergeCell ref="G93:G98"/>
    <mergeCell ref="H73:H76"/>
    <mergeCell ref="B111:D111"/>
    <mergeCell ref="F111:H111"/>
    <mergeCell ref="I111:J111"/>
    <mergeCell ref="B100:E100"/>
    <mergeCell ref="F100:J100"/>
    <mergeCell ref="B109:D109"/>
  </mergeCells>
  <pageMargins left="0.7" right="0.7" top="0.75" bottom="0.75" header="0.3" footer="0.3"/>
  <pageSetup paperSize="9" scale="63" orientation="portrait" r:id="rId1"/>
  <rowBreaks count="2" manualBreakCount="2">
    <brk id="45" max="10" man="1"/>
    <brk id="89" max="10"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B1:L960"/>
  <sheetViews>
    <sheetView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8" t="s">
        <v>147</v>
      </c>
      <c r="C2" s="188"/>
      <c r="D2" s="188"/>
      <c r="E2" s="188"/>
      <c r="F2" s="188"/>
      <c r="G2" s="188"/>
      <c r="H2" s="188"/>
      <c r="I2" s="188"/>
      <c r="J2" s="188"/>
    </row>
    <row r="3" spans="2:12" ht="18.75" thickBot="1" x14ac:dyDescent="0.3">
      <c r="B3" s="177" t="s">
        <v>179</v>
      </c>
      <c r="C3" s="177"/>
      <c r="D3" s="177"/>
      <c r="E3" s="177"/>
      <c r="F3" s="177"/>
      <c r="G3" s="177"/>
      <c r="H3" s="177"/>
      <c r="I3" s="177"/>
      <c r="J3" s="177"/>
    </row>
    <row r="4" spans="2:12" x14ac:dyDescent="0.25">
      <c r="B4" s="178" t="s">
        <v>153</v>
      </c>
      <c r="C4" s="181" t="s">
        <v>24</v>
      </c>
      <c r="D4" s="181"/>
      <c r="E4" s="181"/>
      <c r="F4" s="181"/>
      <c r="G4" s="181"/>
      <c r="H4" s="181"/>
      <c r="I4" s="181"/>
      <c r="J4" s="24"/>
    </row>
    <row r="5" spans="2:12" x14ac:dyDescent="0.25">
      <c r="B5" s="179"/>
      <c r="C5" s="182"/>
      <c r="D5" s="182"/>
      <c r="E5" s="182"/>
      <c r="F5" s="182"/>
      <c r="G5" s="182"/>
      <c r="H5" s="182"/>
      <c r="I5" s="183" t="s">
        <v>5</v>
      </c>
      <c r="J5" s="183"/>
    </row>
    <row r="6" spans="2:12" ht="15.75" thickBot="1" x14ac:dyDescent="0.3">
      <c r="B6" s="180"/>
      <c r="C6" s="169" t="s">
        <v>7</v>
      </c>
      <c r="D6" s="169"/>
      <c r="E6" s="169"/>
      <c r="F6" s="169"/>
      <c r="G6" s="170" t="s">
        <v>8</v>
      </c>
      <c r="H6" s="170"/>
      <c r="I6" s="170"/>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151888</v>
      </c>
      <c r="D8" s="10">
        <f>SUM(D9:D10)</f>
        <v>39032</v>
      </c>
      <c r="E8" s="14" t="s">
        <v>167</v>
      </c>
      <c r="F8" s="26">
        <f>G8-C8-D8</f>
        <v>207351</v>
      </c>
      <c r="G8" s="56">
        <f t="shared" ref="G8:G19" si="0">H8+I8</f>
        <v>398271</v>
      </c>
      <c r="H8" s="10">
        <f>SUM(H9:H10)</f>
        <v>389836</v>
      </c>
      <c r="I8" s="10">
        <f t="shared" ref="I8:J8" si="1">SUM(I9:I10)</f>
        <v>8435</v>
      </c>
      <c r="J8" s="79">
        <f t="shared" si="1"/>
        <v>0</v>
      </c>
    </row>
    <row r="9" spans="2:12" ht="15.75" thickBot="1" x14ac:dyDescent="0.3">
      <c r="B9" s="9" t="s">
        <v>66</v>
      </c>
      <c r="C9" s="68">
        <f>147463-1+1080+3346</f>
        <v>151888</v>
      </c>
      <c r="D9" s="68">
        <f>7000+1287+2500+3243+1508+236+74+500+467+1266+605</f>
        <v>18686</v>
      </c>
      <c r="E9" s="15" t="s">
        <v>9</v>
      </c>
      <c r="F9" s="27">
        <f>G9-C9-D9</f>
        <v>147187</v>
      </c>
      <c r="G9" s="77">
        <f t="shared" si="0"/>
        <v>317761</v>
      </c>
      <c r="H9" s="68">
        <f>288448+3243+4000+1508+236+74+500+413+54+1350+175+3346+1000+1122+144+2750+358+605</f>
        <v>309326</v>
      </c>
      <c r="I9" s="68">
        <v>8435</v>
      </c>
      <c r="J9" s="80"/>
      <c r="L9" s="1">
        <v>317761</v>
      </c>
    </row>
    <row r="10" spans="2:12" ht="15.75" thickBot="1" x14ac:dyDescent="0.3">
      <c r="B10" s="9" t="s">
        <v>67</v>
      </c>
      <c r="C10" s="11"/>
      <c r="D10" s="68">
        <f>2500+17689+157</f>
        <v>20346</v>
      </c>
      <c r="E10" s="15" t="s">
        <v>9</v>
      </c>
      <c r="F10" s="27">
        <f>G10-C10-D10</f>
        <v>60164</v>
      </c>
      <c r="G10" s="17">
        <f t="shared" si="0"/>
        <v>80510</v>
      </c>
      <c r="H10" s="68">
        <f>69682+9243+437+200+880+68</f>
        <v>80510</v>
      </c>
      <c r="I10" s="68"/>
      <c r="J10" s="80"/>
    </row>
    <row r="11" spans="2:12" ht="26.25" thickBot="1" x14ac:dyDescent="0.3">
      <c r="B11" s="8" t="s">
        <v>12</v>
      </c>
      <c r="C11" s="10">
        <f>SUM(C12:C14)</f>
        <v>17486</v>
      </c>
      <c r="D11" s="10">
        <f>SUM(D12:D14)</f>
        <v>58990</v>
      </c>
      <c r="E11" s="14" t="s">
        <v>9</v>
      </c>
      <c r="F11" s="26">
        <f>G11-C11-D11</f>
        <v>54231</v>
      </c>
      <c r="G11" s="56">
        <f t="shared" si="0"/>
        <v>130707</v>
      </c>
      <c r="H11" s="10">
        <f>SUM(H12:H14)</f>
        <v>130707</v>
      </c>
      <c r="I11" s="10">
        <f t="shared" ref="I11:J11" si="2">SUM(I12:I14)</f>
        <v>0</v>
      </c>
      <c r="J11" s="79">
        <f t="shared" si="2"/>
        <v>0</v>
      </c>
    </row>
    <row r="12" spans="2:12" ht="26.25" thickBot="1" x14ac:dyDescent="0.3">
      <c r="B12" s="9" t="s">
        <v>101</v>
      </c>
      <c r="C12" s="68">
        <f>16456+1030</f>
        <v>17486</v>
      </c>
      <c r="D12" s="68">
        <f>42</f>
        <v>42</v>
      </c>
      <c r="E12" s="15" t="s">
        <v>9</v>
      </c>
      <c r="F12" s="27">
        <f>G12-C12-D12-(D13-H13)</f>
        <v>13964</v>
      </c>
      <c r="G12" s="17">
        <f t="shared" si="0"/>
        <v>46820</v>
      </c>
      <c r="H12" s="11">
        <f>12983+(588+782+548+120)+(23242-675)+(4334-43)+2794+25+111+600+63+195+100+25+70+322+136+500</f>
        <v>46820</v>
      </c>
      <c r="I12" s="11"/>
      <c r="J12" s="80"/>
    </row>
    <row r="13" spans="2:12" ht="43.5" customHeight="1" thickBot="1" x14ac:dyDescent="0.3">
      <c r="B13" s="9" t="s">
        <v>102</v>
      </c>
      <c r="C13" s="11"/>
      <c r="D13" s="68">
        <f>18298+18569-700-896-86-6037+2407</f>
        <v>31555</v>
      </c>
      <c r="E13" s="186" t="s">
        <v>138</v>
      </c>
      <c r="F13" s="187"/>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204016</v>
      </c>
      <c r="D30" s="10">
        <f>SUM(D31:D34)</f>
        <v>0</v>
      </c>
      <c r="E30" s="14" t="s">
        <v>9</v>
      </c>
      <c r="F30" s="26">
        <f>G30-C30-D30</f>
        <v>19069</v>
      </c>
      <c r="G30" s="56">
        <f>H30+I30</f>
        <v>223085</v>
      </c>
      <c r="H30" s="10">
        <f>SUM(H31:H34)</f>
        <v>223085</v>
      </c>
      <c r="I30" s="10">
        <f>SUM(I31:I34)</f>
        <v>0</v>
      </c>
      <c r="J30" s="79">
        <f>SUM(J31:J34)</f>
        <v>11490</v>
      </c>
    </row>
    <row r="31" spans="2:10" ht="26.25" thickBot="1" x14ac:dyDescent="0.3">
      <c r="B31" s="9" t="s">
        <v>133</v>
      </c>
      <c r="C31" s="155"/>
      <c r="D31" s="11"/>
      <c r="E31" s="15" t="s">
        <v>9</v>
      </c>
      <c r="F31" s="171">
        <f>(G31+G32)-C31</f>
        <v>4300</v>
      </c>
      <c r="G31" s="17">
        <f>H31+I31</f>
        <v>4300</v>
      </c>
      <c r="H31" s="68">
        <v>4300</v>
      </c>
      <c r="I31" s="11"/>
      <c r="J31" s="80"/>
    </row>
    <row r="32" spans="2:10" ht="39" thickBot="1" x14ac:dyDescent="0.3">
      <c r="B32" s="9" t="s">
        <v>79</v>
      </c>
      <c r="C32" s="156"/>
      <c r="D32" s="11"/>
      <c r="E32" s="15" t="s">
        <v>9</v>
      </c>
      <c r="F32" s="172"/>
      <c r="G32" s="17">
        <f t="shared" ref="G32" si="9">H32+I32</f>
        <v>0</v>
      </c>
      <c r="H32" s="87"/>
      <c r="I32" s="11"/>
      <c r="J32" s="80"/>
    </row>
    <row r="33" spans="2:10" ht="56.25" customHeight="1" thickBot="1" x14ac:dyDescent="0.3">
      <c r="B33" s="9" t="s">
        <v>128</v>
      </c>
      <c r="C33" s="68">
        <f>176151+12034+6513+9184+94</f>
        <v>203976</v>
      </c>
      <c r="D33" s="11"/>
      <c r="E33" s="15" t="s">
        <v>9</v>
      </c>
      <c r="F33" s="27">
        <f>G33-C33-D33</f>
        <v>14769</v>
      </c>
      <c r="G33" s="17">
        <f>H33+I33</f>
        <v>218745</v>
      </c>
      <c r="H33" s="68">
        <f>176151+14769+12034+6513+9184+94</f>
        <v>218745</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5">
        <v>13006</v>
      </c>
      <c r="D41" s="11"/>
      <c r="E41" s="15" t="s">
        <v>9</v>
      </c>
      <c r="F41" s="27">
        <f>G41-C41-D41</f>
        <v>62069</v>
      </c>
      <c r="G41" s="17">
        <f>H41+I41</f>
        <v>75075</v>
      </c>
      <c r="H41" s="68"/>
      <c r="I41" s="68">
        <f>69075+6000</f>
        <v>75075</v>
      </c>
      <c r="J41" s="81">
        <v>3684</v>
      </c>
    </row>
    <row r="42" spans="2:10" ht="15.75" thickBot="1" x14ac:dyDescent="0.3">
      <c r="B42" s="9" t="s">
        <v>85</v>
      </c>
      <c r="C42" s="157"/>
      <c r="D42" s="11"/>
      <c r="E42" s="15" t="s">
        <v>9</v>
      </c>
      <c r="F42" s="27">
        <f>G42-C42-D42</f>
        <v>12500</v>
      </c>
      <c r="G42" s="17">
        <f>H42+I42</f>
        <v>12500</v>
      </c>
      <c r="H42" s="68"/>
      <c r="I42" s="68">
        <f>12500</f>
        <v>12500</v>
      </c>
      <c r="J42" s="81"/>
    </row>
    <row r="43" spans="2:10" ht="26.25" thickBot="1" x14ac:dyDescent="0.3">
      <c r="B43" s="9" t="s">
        <v>86</v>
      </c>
      <c r="C43" s="157"/>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6"/>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179</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832762</v>
      </c>
      <c r="D62" s="21">
        <f>D57+D52+D40+D35+D30+D26+D20+D15+D11+D8</f>
        <v>167294</v>
      </c>
      <c r="E62" s="43"/>
      <c r="F62" s="31">
        <f t="shared" si="22"/>
        <v>629237</v>
      </c>
      <c r="G62" s="44">
        <f>G57+G52+G40+G35+G30+G26+G20+G15+G11+G8</f>
        <v>1629293</v>
      </c>
      <c r="H62" s="21">
        <f>H57+H52+H40+H35+H30+H26+H20+H15+H11+H8</f>
        <v>1316850</v>
      </c>
      <c r="I62" s="45">
        <f>I57+I52+I40+I35+I30+I26+I20+I15+I11+I8</f>
        <v>312443</v>
      </c>
      <c r="J62" s="46">
        <f>J57+J52+J40+J35+J30+J26+J20+J15+J11+J8</f>
        <v>236909</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2" ht="36" customHeight="1" thickBot="1" x14ac:dyDescent="0.3">
      <c r="B65" s="7" t="s">
        <v>2</v>
      </c>
      <c r="C65" s="76" t="s">
        <v>105</v>
      </c>
      <c r="D65" s="34" t="s">
        <v>0</v>
      </c>
      <c r="E65" s="35" t="s">
        <v>48</v>
      </c>
      <c r="F65" s="36" t="s">
        <v>49</v>
      </c>
      <c r="G65" s="18" t="s">
        <v>59</v>
      </c>
      <c r="H65" s="160" t="s">
        <v>46</v>
      </c>
      <c r="I65" s="161"/>
      <c r="J65" s="161"/>
    </row>
    <row r="66" spans="2:12" ht="15.75" thickBot="1" x14ac:dyDescent="0.3">
      <c r="B66" s="8" t="s">
        <v>42</v>
      </c>
      <c r="C66" s="10">
        <f>SUM(C67:C70)</f>
        <v>670477</v>
      </c>
      <c r="D66" s="10">
        <f>SUM(D67:D70)</f>
        <v>42146</v>
      </c>
      <c r="E66" s="14"/>
      <c r="F66" s="10">
        <f>SUM(F67:F70)</f>
        <v>-1737</v>
      </c>
      <c r="G66" s="86">
        <f>SUM(G67:G70)</f>
        <v>308504</v>
      </c>
      <c r="H66" s="162"/>
      <c r="I66" s="163"/>
      <c r="J66" s="163"/>
      <c r="L66" s="1">
        <v>308504</v>
      </c>
    </row>
    <row r="67" spans="2:12" ht="48.75" customHeight="1" thickBot="1" x14ac:dyDescent="0.3">
      <c r="B67" s="9" t="s">
        <v>95</v>
      </c>
      <c r="C67" s="11">
        <f>6462+1915</f>
        <v>8377</v>
      </c>
      <c r="D67" s="11"/>
      <c r="E67" s="66" t="s">
        <v>50</v>
      </c>
      <c r="F67" s="27">
        <f>10000-390-1980-437-350-200-880-1000-1525-68-600-63-195-100-3108-25-70-322-136-500</f>
        <v>-1949</v>
      </c>
      <c r="G67" s="77">
        <f>C67+D67+F67</f>
        <v>6428</v>
      </c>
      <c r="H67" s="162"/>
      <c r="I67" s="163"/>
      <c r="J67" s="163"/>
      <c r="L67" s="1">
        <v>6428</v>
      </c>
    </row>
    <row r="68" spans="2:12" ht="53.25" customHeight="1" thickBot="1" x14ac:dyDescent="0.3">
      <c r="B68" s="9" t="s">
        <v>96</v>
      </c>
      <c r="C68" s="11">
        <f>54949</f>
        <v>54949</v>
      </c>
      <c r="D68" s="68">
        <f>315+22358+86+6037</f>
        <v>28796</v>
      </c>
      <c r="E68" s="66" t="s">
        <v>47</v>
      </c>
      <c r="F68" s="27"/>
      <c r="G68" s="77">
        <f>C68+D68+F68-F75</f>
        <v>76375</v>
      </c>
      <c r="H68" s="162"/>
      <c r="I68" s="163"/>
      <c r="J68" s="163"/>
      <c r="L68" s="1">
        <v>76375</v>
      </c>
    </row>
    <row r="69" spans="2:12" ht="51.75" customHeight="1" thickBot="1" x14ac:dyDescent="0.3">
      <c r="B69" s="9" t="s">
        <v>97</v>
      </c>
      <c r="C69" s="11">
        <f>(10000-648)+4522</f>
        <v>13874</v>
      </c>
      <c r="D69" s="11"/>
      <c r="E69" s="66" t="s">
        <v>150</v>
      </c>
      <c r="F69" s="27"/>
      <c r="G69" s="77">
        <f>C69+D69+F69</f>
        <v>13874</v>
      </c>
      <c r="H69" s="164"/>
      <c r="I69" s="165"/>
      <c r="J69" s="165"/>
      <c r="L69" s="1">
        <v>13874</v>
      </c>
    </row>
    <row r="70" spans="2:12" ht="49.5" customHeight="1" thickBot="1" x14ac:dyDescent="0.3">
      <c r="B70" s="9" t="s">
        <v>107</v>
      </c>
      <c r="C70" s="11">
        <f>9464+25+47+116+174+111+250000+12000+1750+6627+4470+6433+1143+2601+1000+285092+153+4972+4045+1022+2032</f>
        <v>593277</v>
      </c>
      <c r="D70" s="68">
        <f>13350</f>
        <v>13350</v>
      </c>
      <c r="E70" s="66" t="s">
        <v>148</v>
      </c>
      <c r="F70" s="83">
        <f>G95</f>
        <v>212</v>
      </c>
      <c r="G70" s="77">
        <f>C70+D70+F70-F73-F74-F78-F79-F80-F81-F82-F83-F84-F85-F86</f>
        <v>211827</v>
      </c>
      <c r="H70" s="173" t="s">
        <v>149</v>
      </c>
      <c r="I70" s="174"/>
      <c r="J70" s="174"/>
      <c r="L70" s="1">
        <v>211827</v>
      </c>
    </row>
    <row r="71" spans="2:12" ht="51.75" customHeight="1" thickBot="1" x14ac:dyDescent="0.3">
      <c r="B71" s="70" t="s">
        <v>2</v>
      </c>
      <c r="C71" s="71" t="s">
        <v>3</v>
      </c>
      <c r="D71" s="71" t="s">
        <v>21</v>
      </c>
      <c r="E71" s="72" t="s">
        <v>22</v>
      </c>
      <c r="F71" s="73" t="s">
        <v>29</v>
      </c>
      <c r="G71" s="18" t="s">
        <v>23</v>
      </c>
      <c r="H71" s="175"/>
      <c r="I71" s="176"/>
      <c r="J71" s="176"/>
    </row>
    <row r="72" spans="2:12" ht="26.25" thickBot="1" x14ac:dyDescent="0.3">
      <c r="B72" s="8" t="s">
        <v>44</v>
      </c>
      <c r="C72" s="10">
        <f>SUM(C73:C76)</f>
        <v>0</v>
      </c>
      <c r="D72" s="10">
        <f>SUM(D73:D76)</f>
        <v>25000</v>
      </c>
      <c r="E72" s="14"/>
      <c r="F72" s="26">
        <f>SUM(F73:F76)</f>
        <v>370675</v>
      </c>
      <c r="G72" s="56">
        <f>SUM(C72+D72+F72)</f>
        <v>395675</v>
      </c>
      <c r="H72" s="158" t="s">
        <v>131</v>
      </c>
      <c r="I72" s="159"/>
      <c r="J72" s="159"/>
    </row>
    <row r="73" spans="2:12" ht="27" customHeight="1" thickBot="1" x14ac:dyDescent="0.3">
      <c r="B73" s="9" t="s">
        <v>98</v>
      </c>
      <c r="C73" s="11"/>
      <c r="D73" s="11"/>
      <c r="E73" s="66" t="s">
        <v>51</v>
      </c>
      <c r="F73" s="69">
        <f>250000+12000+1750+6627+4470+6433+1143+2601+1000+8000+313+172+114+129+500+914+1905+36+74+407+1536+400+91-20000+4045+15819+229+133+200-64+38250+450+80+60+2286+100+32+216+92+220+300+198+44</f>
        <v>343305</v>
      </c>
      <c r="G73" s="17">
        <f t="shared" ref="G73:G75" si="24">SUM(C73+D73+F73)</f>
        <v>343305</v>
      </c>
      <c r="H73" s="129" t="s">
        <v>53</v>
      </c>
      <c r="I73" s="129" t="s">
        <v>64</v>
      </c>
      <c r="J73" s="129" t="s">
        <v>132</v>
      </c>
    </row>
    <row r="74" spans="2:12" ht="26.25" thickBot="1" x14ac:dyDescent="0.3">
      <c r="B74" s="9" t="s">
        <v>106</v>
      </c>
      <c r="C74" s="11"/>
      <c r="D74" s="11"/>
      <c r="E74" s="66" t="s">
        <v>51</v>
      </c>
      <c r="F74" s="69">
        <v>20000</v>
      </c>
      <c r="G74" s="77">
        <f t="shared" si="24"/>
        <v>20000</v>
      </c>
      <c r="H74" s="130"/>
      <c r="I74" s="130"/>
      <c r="J74" s="130"/>
    </row>
    <row r="75" spans="2:12" ht="38.25" customHeight="1" thickBot="1" x14ac:dyDescent="0.3">
      <c r="B75" s="9" t="s">
        <v>99</v>
      </c>
      <c r="C75" s="11"/>
      <c r="D75" s="11"/>
      <c r="E75" s="66" t="s">
        <v>152</v>
      </c>
      <c r="F75" s="69">
        <f>328+5992+739+311</f>
        <v>7370</v>
      </c>
      <c r="G75" s="77">
        <f t="shared" si="24"/>
        <v>7370</v>
      </c>
      <c r="H75" s="130"/>
      <c r="I75" s="130"/>
      <c r="J75" s="130"/>
    </row>
    <row r="76" spans="2:12" ht="26.25" thickBot="1" x14ac:dyDescent="0.3">
      <c r="B76" s="9" t="s">
        <v>100</v>
      </c>
      <c r="C76" s="11"/>
      <c r="D76" s="11">
        <v>25000</v>
      </c>
      <c r="E76" s="66" t="s">
        <v>176</v>
      </c>
      <c r="F76" s="69"/>
      <c r="G76" s="77">
        <f>SUM(C76+D76+F76)</f>
        <v>25000</v>
      </c>
      <c r="H76" s="131"/>
      <c r="I76" s="131"/>
      <c r="J76" s="131"/>
    </row>
    <row r="77" spans="2:12" ht="26.25" thickBot="1" x14ac:dyDescent="0.3">
      <c r="B77" s="8" t="s">
        <v>57</v>
      </c>
      <c r="C77" s="10">
        <f>SUM(C79:C86)</f>
        <v>0</v>
      </c>
      <c r="D77" s="10">
        <f>SUM(D79:D86)</f>
        <v>1751317</v>
      </c>
      <c r="E77" s="14"/>
      <c r="F77" s="10">
        <f>SUM(F78:F86)</f>
        <v>31707</v>
      </c>
      <c r="G77" s="56">
        <f>SUM(C77+D77+F77)</f>
        <v>1783024</v>
      </c>
      <c r="H77" s="62">
        <f>SUM(H79:H86)</f>
        <v>3390660</v>
      </c>
      <c r="I77" s="65">
        <f>SUM(I79:I86)</f>
        <v>417496</v>
      </c>
      <c r="J77" s="65">
        <f>SUM(J79:J86)</f>
        <v>5567372</v>
      </c>
    </row>
    <row r="78" spans="2:12" ht="46.35" customHeight="1" thickBot="1" x14ac:dyDescent="0.3">
      <c r="B78" s="9" t="s">
        <v>52</v>
      </c>
      <c r="C78" s="11"/>
      <c r="D78" s="11"/>
      <c r="E78" s="126" t="s">
        <v>151</v>
      </c>
      <c r="F78" s="27">
        <f>12474+281+9856+1197</f>
        <v>23808</v>
      </c>
      <c r="G78" s="17">
        <f t="shared" ref="G78:G86" si="25">C78+D78+F78</f>
        <v>23808</v>
      </c>
      <c r="H78" s="63"/>
      <c r="I78" s="63"/>
      <c r="J78" s="64">
        <f>SUM(G78:I78)</f>
        <v>23808</v>
      </c>
    </row>
    <row r="79" spans="2:12" ht="15" customHeight="1" thickBot="1" x14ac:dyDescent="0.3">
      <c r="B79" s="9" t="s">
        <v>157</v>
      </c>
      <c r="C79" s="11"/>
      <c r="D79" s="11"/>
      <c r="E79" s="127"/>
      <c r="F79" s="27"/>
      <c r="G79" s="17">
        <f t="shared" si="25"/>
        <v>0</v>
      </c>
      <c r="H79" s="63"/>
      <c r="I79" s="63"/>
      <c r="J79" s="64">
        <f>SUM(G79:I79)</f>
        <v>0</v>
      </c>
    </row>
    <row r="80" spans="2:12" ht="15.75" thickBot="1" x14ac:dyDescent="0.3">
      <c r="B80" s="9" t="s">
        <v>26</v>
      </c>
      <c r="C80" s="68"/>
      <c r="D80" s="11">
        <v>43295</v>
      </c>
      <c r="E80" s="127"/>
      <c r="F80" s="27">
        <v>210</v>
      </c>
      <c r="G80" s="77">
        <f t="shared" si="25"/>
        <v>43505</v>
      </c>
      <c r="H80" s="63"/>
      <c r="I80" s="63">
        <v>206705</v>
      </c>
      <c r="J80" s="64">
        <f t="shared" ref="J80:J86" si="26">SUM(G80:I80)</f>
        <v>250210</v>
      </c>
    </row>
    <row r="81" spans="2:10" ht="15.75" thickBot="1" x14ac:dyDescent="0.3">
      <c r="B81" s="9" t="s">
        <v>25</v>
      </c>
      <c r="C81" s="68"/>
      <c r="D81" s="11">
        <v>14074</v>
      </c>
      <c r="E81" s="127"/>
      <c r="F81" s="27"/>
      <c r="G81" s="77">
        <f t="shared" si="25"/>
        <v>14074</v>
      </c>
      <c r="H81" s="63">
        <v>789765</v>
      </c>
      <c r="I81" s="63">
        <v>35961</v>
      </c>
      <c r="J81" s="64">
        <f t="shared" si="26"/>
        <v>839800</v>
      </c>
    </row>
    <row r="82" spans="2:10" ht="15.75" thickBot="1" x14ac:dyDescent="0.3">
      <c r="B82" s="9" t="s">
        <v>62</v>
      </c>
      <c r="C82" s="11"/>
      <c r="D82" s="11"/>
      <c r="E82" s="127"/>
      <c r="F82" s="27"/>
      <c r="G82" s="77">
        <f t="shared" si="25"/>
        <v>0</v>
      </c>
      <c r="H82" s="63"/>
      <c r="I82" s="63"/>
      <c r="J82" s="64">
        <f t="shared" si="26"/>
        <v>0</v>
      </c>
    </row>
    <row r="83" spans="2:10" ht="26.25" thickBot="1" x14ac:dyDescent="0.3">
      <c r="B83" s="9" t="s">
        <v>165</v>
      </c>
      <c r="C83" s="11"/>
      <c r="D83" s="11">
        <v>78662</v>
      </c>
      <c r="E83" s="127"/>
      <c r="F83" s="27"/>
      <c r="G83" s="77">
        <f t="shared" si="25"/>
        <v>78662</v>
      </c>
      <c r="H83" s="63"/>
      <c r="I83" s="63"/>
      <c r="J83" s="64">
        <f t="shared" si="26"/>
        <v>78662</v>
      </c>
    </row>
    <row r="84" spans="2:10" ht="15.75" thickBot="1" x14ac:dyDescent="0.3">
      <c r="B84" s="9" t="s">
        <v>61</v>
      </c>
      <c r="C84" s="11"/>
      <c r="D84" s="11"/>
      <c r="E84" s="127"/>
      <c r="F84" s="27"/>
      <c r="G84" s="77">
        <f t="shared" si="25"/>
        <v>0</v>
      </c>
      <c r="H84" s="63"/>
      <c r="I84" s="63"/>
      <c r="J84" s="64">
        <f t="shared" si="26"/>
        <v>0</v>
      </c>
    </row>
    <row r="85" spans="2:10" ht="15.75" thickBot="1" x14ac:dyDescent="0.3">
      <c r="B85" s="9" t="s">
        <v>27</v>
      </c>
      <c r="C85" s="11"/>
      <c r="D85" s="11">
        <f>1383938+166952+64396</f>
        <v>1615286</v>
      </c>
      <c r="E85" s="127"/>
      <c r="F85" s="27">
        <f>188+6291+203+707+300</f>
        <v>7689</v>
      </c>
      <c r="G85" s="17">
        <f t="shared" si="25"/>
        <v>1622975</v>
      </c>
      <c r="H85" s="63">
        <v>2600895</v>
      </c>
      <c r="I85" s="63">
        <v>174830</v>
      </c>
      <c r="J85" s="64">
        <f t="shared" si="26"/>
        <v>4398700</v>
      </c>
    </row>
    <row r="86" spans="2:10" ht="15.75" thickBot="1" x14ac:dyDescent="0.3">
      <c r="B86" s="9" t="s">
        <v>135</v>
      </c>
      <c r="C86" s="11"/>
      <c r="D86" s="11"/>
      <c r="E86" s="128"/>
      <c r="F86" s="27"/>
      <c r="G86" s="17">
        <f t="shared" si="25"/>
        <v>0</v>
      </c>
      <c r="H86" s="63"/>
      <c r="I86" s="63"/>
      <c r="J86" s="64">
        <f t="shared" si="26"/>
        <v>0</v>
      </c>
    </row>
    <row r="87" spans="2:10" ht="30.75" customHeight="1" thickBot="1" x14ac:dyDescent="0.3">
      <c r="B87" s="181" t="s">
        <v>43</v>
      </c>
      <c r="C87" s="139" t="s">
        <v>56</v>
      </c>
      <c r="D87" s="139"/>
      <c r="E87" s="139"/>
      <c r="F87" s="139"/>
      <c r="G87" s="40">
        <f>G62</f>
        <v>1629293</v>
      </c>
      <c r="H87" s="193">
        <f>SUM(G87:G90)</f>
        <v>4116496</v>
      </c>
      <c r="I87" s="195" t="s">
        <v>141</v>
      </c>
      <c r="J87" s="195"/>
    </row>
    <row r="88" spans="2:10" ht="42.75" customHeight="1" thickBot="1" x14ac:dyDescent="0.3">
      <c r="B88" s="192"/>
      <c r="C88" s="139" t="s">
        <v>104</v>
      </c>
      <c r="D88" s="139"/>
      <c r="E88" s="139"/>
      <c r="F88" s="152"/>
      <c r="G88" s="40">
        <f>G66</f>
        <v>308504</v>
      </c>
      <c r="H88" s="194"/>
      <c r="I88" s="196"/>
      <c r="J88" s="196"/>
    </row>
    <row r="89" spans="2:10" ht="30" customHeight="1" thickBot="1" x14ac:dyDescent="0.3">
      <c r="B89" s="192"/>
      <c r="C89" s="139" t="s">
        <v>55</v>
      </c>
      <c r="D89" s="139"/>
      <c r="E89" s="139"/>
      <c r="F89" s="152"/>
      <c r="G89" s="40">
        <f>G72</f>
        <v>395675</v>
      </c>
      <c r="H89" s="194"/>
      <c r="I89" s="197"/>
      <c r="J89" s="197"/>
    </row>
    <row r="90" spans="2:10" ht="19.350000000000001" customHeight="1" thickBot="1" x14ac:dyDescent="0.3">
      <c r="B90" s="169"/>
      <c r="C90" s="139" t="s">
        <v>60</v>
      </c>
      <c r="D90" s="139"/>
      <c r="E90" s="139"/>
      <c r="F90" s="139"/>
      <c r="G90" s="42">
        <f>G77</f>
        <v>1783024</v>
      </c>
      <c r="H90" s="194"/>
      <c r="I90" s="198">
        <f>G95</f>
        <v>212</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180</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93602</v>
      </c>
      <c r="F95" s="19">
        <f>D95-E95</f>
        <v>-8602</v>
      </c>
      <c r="G95" s="140">
        <f>F95+F96+F99</f>
        <v>212</v>
      </c>
      <c r="H95" s="33"/>
      <c r="I95" s="33"/>
      <c r="J95" s="33"/>
    </row>
    <row r="96" spans="2:10" ht="25.5" customHeight="1" thickBot="1" x14ac:dyDescent="0.3">
      <c r="B96" s="22" t="s">
        <v>109</v>
      </c>
      <c r="C96" s="190" t="s">
        <v>170</v>
      </c>
      <c r="D96" s="68">
        <v>60000</v>
      </c>
      <c r="E96" s="190">
        <f>F9+F10+F12+F14+F23+F24+F25+F27+F31+F33+F34+F41+F42+F43+F44+F53+F54+F55+F56+F58+F59+F60+F61+F67+F69</f>
        <v>533686</v>
      </c>
      <c r="F96" s="190">
        <f>D96+D97+D98+D99+D100-E96</f>
        <v>8814</v>
      </c>
      <c r="G96" s="141"/>
      <c r="H96" s="33"/>
      <c r="I96" s="33"/>
      <c r="J96" s="33"/>
    </row>
    <row r="97" spans="2:10" ht="15.75" thickBot="1" x14ac:dyDescent="0.3">
      <c r="B97" s="22" t="s">
        <v>126</v>
      </c>
      <c r="C97" s="191"/>
      <c r="D97" s="68">
        <f>210000</f>
        <v>210000</v>
      </c>
      <c r="E97" s="191"/>
      <c r="F97" s="191"/>
      <c r="G97" s="141"/>
      <c r="H97" s="33"/>
      <c r="I97" s="33"/>
      <c r="J97" s="33"/>
    </row>
    <row r="98" spans="2:10" ht="15.75" thickBot="1" x14ac:dyDescent="0.3">
      <c r="B98" s="22" t="s">
        <v>125</v>
      </c>
      <c r="C98" s="191"/>
      <c r="D98" s="68">
        <f>267000</f>
        <v>267000</v>
      </c>
      <c r="E98" s="191"/>
      <c r="F98" s="191"/>
      <c r="G98" s="141"/>
      <c r="H98" s="33"/>
      <c r="I98" s="33"/>
      <c r="J98" s="33"/>
    </row>
    <row r="99" spans="2:10" ht="15.75" thickBot="1" x14ac:dyDescent="0.3">
      <c r="B99" s="22" t="s">
        <v>110</v>
      </c>
      <c r="C99" s="190" t="s">
        <v>19</v>
      </c>
      <c r="D99" s="11">
        <v>1500</v>
      </c>
      <c r="E99" s="191"/>
      <c r="F99" s="191"/>
      <c r="G99" s="141"/>
      <c r="H99" s="33"/>
      <c r="I99" s="33"/>
      <c r="J99" s="33"/>
    </row>
    <row r="100" spans="2:10" ht="15.75" thickBot="1" x14ac:dyDescent="0.3">
      <c r="B100" s="22" t="s">
        <v>31</v>
      </c>
      <c r="C100" s="191"/>
      <c r="D100" s="11">
        <v>4000</v>
      </c>
      <c r="E100" s="205"/>
      <c r="F100" s="205"/>
      <c r="G100" s="141"/>
      <c r="H100" s="33"/>
      <c r="I100" s="33"/>
      <c r="J100" s="33"/>
    </row>
    <row r="101" spans="2:10" ht="33.75" customHeight="1" thickBot="1" x14ac:dyDescent="0.3">
      <c r="B101" s="189" t="s">
        <v>63</v>
      </c>
      <c r="C101" s="189"/>
      <c r="D101" s="85">
        <f>SUM(D95:D100)</f>
        <v>627500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8" customHeight="1" thickBot="1" x14ac:dyDescent="0.3">
      <c r="B103" s="148" t="s">
        <v>111</v>
      </c>
      <c r="C103" s="148"/>
      <c r="D103" s="148"/>
      <c r="E103" s="57">
        <f>G8</f>
        <v>398271</v>
      </c>
      <c r="F103" s="199" t="s">
        <v>171</v>
      </c>
      <c r="G103" s="200"/>
      <c r="H103" s="200"/>
      <c r="I103" s="200"/>
      <c r="J103" s="200"/>
    </row>
    <row r="104" spans="2:10" ht="19.5" customHeight="1" thickBot="1" x14ac:dyDescent="0.3">
      <c r="B104" s="148" t="s">
        <v>112</v>
      </c>
      <c r="C104" s="148"/>
      <c r="D104" s="148"/>
      <c r="E104" s="57">
        <f>G11</f>
        <v>130707</v>
      </c>
      <c r="F104" s="201"/>
      <c r="G104" s="202"/>
      <c r="H104" s="202"/>
      <c r="I104" s="202"/>
      <c r="J104" s="202"/>
    </row>
    <row r="105" spans="2:10" ht="18.75" customHeight="1" thickBot="1" x14ac:dyDescent="0.3">
      <c r="B105" s="148" t="s">
        <v>113</v>
      </c>
      <c r="C105" s="148"/>
      <c r="D105" s="148"/>
      <c r="E105" s="57">
        <f>G15</f>
        <v>502251</v>
      </c>
      <c r="F105" s="201"/>
      <c r="G105" s="202"/>
      <c r="H105" s="202"/>
      <c r="I105" s="202"/>
      <c r="J105" s="202"/>
    </row>
    <row r="106" spans="2:10" ht="30" customHeight="1" thickBot="1" x14ac:dyDescent="0.3">
      <c r="B106" s="148" t="s">
        <v>114</v>
      </c>
      <c r="C106" s="148"/>
      <c r="D106" s="148"/>
      <c r="E106" s="57">
        <f>G20</f>
        <v>143087</v>
      </c>
      <c r="F106" s="201"/>
      <c r="G106" s="202"/>
      <c r="H106" s="202"/>
      <c r="I106" s="202"/>
      <c r="J106" s="202"/>
    </row>
    <row r="107" spans="2:10" ht="19.5" customHeight="1" thickBot="1" x14ac:dyDescent="0.3">
      <c r="B107" s="148" t="s">
        <v>115</v>
      </c>
      <c r="C107" s="148"/>
      <c r="D107" s="148"/>
      <c r="E107" s="57">
        <f>G26</f>
        <v>42616</v>
      </c>
      <c r="F107" s="203"/>
      <c r="G107" s="204"/>
      <c r="H107" s="204"/>
      <c r="I107" s="204"/>
      <c r="J107" s="204"/>
    </row>
    <row r="108" spans="2:10" ht="18" customHeight="1" thickBot="1" x14ac:dyDescent="0.3">
      <c r="B108" s="148" t="s">
        <v>116</v>
      </c>
      <c r="C108" s="148"/>
      <c r="D108" s="148"/>
      <c r="E108" s="57">
        <f>G30</f>
        <v>223085</v>
      </c>
      <c r="F108" s="132" t="s">
        <v>169</v>
      </c>
      <c r="G108" s="132"/>
      <c r="H108" s="132"/>
      <c r="I108" s="132"/>
      <c r="J108" s="132"/>
    </row>
    <row r="109" spans="2:10" ht="31.5" customHeight="1" thickBot="1" x14ac:dyDescent="0.3">
      <c r="B109" s="148" t="s">
        <v>117</v>
      </c>
      <c r="C109" s="148"/>
      <c r="D109" s="148"/>
      <c r="E109" s="57">
        <f>G35</f>
        <v>31548</v>
      </c>
      <c r="F109" s="151" t="s">
        <v>121</v>
      </c>
      <c r="G109" s="149"/>
      <c r="H109" s="149"/>
      <c r="I109" s="150">
        <f>E113</f>
        <v>1629293</v>
      </c>
      <c r="J109" s="150"/>
    </row>
    <row r="110" spans="2:10" ht="21" customHeight="1" thickBot="1" x14ac:dyDescent="0.3">
      <c r="B110" s="148" t="s">
        <v>118</v>
      </c>
      <c r="C110" s="148"/>
      <c r="D110" s="148"/>
      <c r="E110" s="57">
        <f>G40</f>
        <v>119048</v>
      </c>
      <c r="F110" s="149" t="s">
        <v>122</v>
      </c>
      <c r="G110" s="149"/>
      <c r="H110" s="149"/>
      <c r="I110" s="150">
        <f>G66</f>
        <v>308504</v>
      </c>
      <c r="J110" s="150"/>
    </row>
    <row r="111" spans="2:10" ht="30" customHeight="1" thickBot="1" x14ac:dyDescent="0.3">
      <c r="B111" s="148" t="s">
        <v>119</v>
      </c>
      <c r="C111" s="148"/>
      <c r="D111" s="148"/>
      <c r="E111" s="57">
        <f>G52</f>
        <v>28680</v>
      </c>
      <c r="F111" s="149" t="s">
        <v>123</v>
      </c>
      <c r="G111" s="149"/>
      <c r="H111" s="149"/>
      <c r="I111" s="150">
        <f>G72</f>
        <v>395675</v>
      </c>
      <c r="J111" s="150"/>
    </row>
    <row r="112" spans="2:10" ht="31.5" customHeight="1" thickBot="1" x14ac:dyDescent="0.3">
      <c r="B112" s="148" t="s">
        <v>120</v>
      </c>
      <c r="C112" s="148"/>
      <c r="D112" s="148"/>
      <c r="E112" s="57">
        <f>G57</f>
        <v>10000</v>
      </c>
      <c r="F112" s="149" t="s">
        <v>124</v>
      </c>
      <c r="G112" s="149"/>
      <c r="H112" s="149"/>
      <c r="I112" s="150">
        <f>G77</f>
        <v>1783024</v>
      </c>
      <c r="J112" s="150"/>
    </row>
    <row r="113" spans="2:10" ht="23.25" customHeight="1" thickBot="1" x14ac:dyDescent="0.3">
      <c r="B113" s="142" t="s">
        <v>30</v>
      </c>
      <c r="C113" s="142"/>
      <c r="D113" s="142"/>
      <c r="E113" s="58">
        <f>SUM(E103:E112)</f>
        <v>1629293</v>
      </c>
      <c r="F113" s="143" t="s">
        <v>54</v>
      </c>
      <c r="G113" s="143"/>
      <c r="H113" s="143"/>
      <c r="I113" s="144">
        <f>SUM(I109:J112)</f>
        <v>4116496</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C48:I48"/>
    <mergeCell ref="C49:H49"/>
    <mergeCell ref="I49:J49"/>
    <mergeCell ref="C50:F50"/>
    <mergeCell ref="G50:I50"/>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B2:J2"/>
    <mergeCell ref="B3:J3"/>
    <mergeCell ref="B4:B6"/>
    <mergeCell ref="C4:I4"/>
    <mergeCell ref="C5:H5"/>
    <mergeCell ref="I5:J5"/>
    <mergeCell ref="C6:F6"/>
    <mergeCell ref="G6:I6"/>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sheetPr>
  <dimension ref="B1:L960"/>
  <sheetViews>
    <sheetView topLeftCell="A7" zoomScale="90" zoomScaleNormal="90" zoomScaleSheetLayoutView="158" workbookViewId="0">
      <selection activeCell="M13" sqref="M13"/>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8" t="s">
        <v>147</v>
      </c>
      <c r="C2" s="188"/>
      <c r="D2" s="188"/>
      <c r="E2" s="188"/>
      <c r="F2" s="188"/>
      <c r="G2" s="188"/>
      <c r="H2" s="188"/>
      <c r="I2" s="188"/>
      <c r="J2" s="188"/>
    </row>
    <row r="3" spans="2:12" ht="18.75" thickBot="1" x14ac:dyDescent="0.3">
      <c r="B3" s="177" t="s">
        <v>162</v>
      </c>
      <c r="C3" s="177"/>
      <c r="D3" s="177"/>
      <c r="E3" s="177"/>
      <c r="F3" s="177"/>
      <c r="G3" s="177"/>
      <c r="H3" s="177"/>
      <c r="I3" s="177"/>
      <c r="J3" s="177"/>
    </row>
    <row r="4" spans="2:12" x14ac:dyDescent="0.25">
      <c r="B4" s="178" t="s">
        <v>153</v>
      </c>
      <c r="C4" s="181" t="s">
        <v>24</v>
      </c>
      <c r="D4" s="181"/>
      <c r="E4" s="181"/>
      <c r="F4" s="181"/>
      <c r="G4" s="181"/>
      <c r="H4" s="181"/>
      <c r="I4" s="181"/>
      <c r="J4" s="24"/>
    </row>
    <row r="5" spans="2:12" x14ac:dyDescent="0.25">
      <c r="B5" s="179"/>
      <c r="C5" s="182"/>
      <c r="D5" s="182"/>
      <c r="E5" s="182"/>
      <c r="F5" s="182"/>
      <c r="G5" s="182"/>
      <c r="H5" s="182"/>
      <c r="I5" s="183" t="s">
        <v>5</v>
      </c>
      <c r="J5" s="183"/>
    </row>
    <row r="6" spans="2:12" ht="15.75" thickBot="1" x14ac:dyDescent="0.3">
      <c r="B6" s="180"/>
      <c r="C6" s="169" t="s">
        <v>7</v>
      </c>
      <c r="D6" s="169"/>
      <c r="E6" s="169"/>
      <c r="F6" s="169"/>
      <c r="G6" s="170" t="s">
        <v>8</v>
      </c>
      <c r="H6" s="170"/>
      <c r="I6" s="170"/>
      <c r="J6" s="25"/>
    </row>
    <row r="7" spans="2:12" ht="45.75" thickBot="1" x14ac:dyDescent="0.3">
      <c r="B7" s="7" t="s">
        <v>2</v>
      </c>
      <c r="C7" s="34" t="s">
        <v>3</v>
      </c>
      <c r="D7" s="34" t="s">
        <v>21</v>
      </c>
      <c r="E7" s="35" t="s">
        <v>22</v>
      </c>
      <c r="F7" s="36" t="s">
        <v>29</v>
      </c>
      <c r="G7" s="18" t="s">
        <v>23</v>
      </c>
      <c r="H7" s="37" t="s">
        <v>4</v>
      </c>
      <c r="I7" s="37" t="s">
        <v>6</v>
      </c>
      <c r="J7" s="78" t="s">
        <v>134</v>
      </c>
    </row>
    <row r="8" spans="2:12" ht="26.25" thickBot="1" x14ac:dyDescent="0.3">
      <c r="B8" s="8" t="s">
        <v>11</v>
      </c>
      <c r="C8" s="10">
        <f>SUM(C9:C10)</f>
        <v>1080</v>
      </c>
      <c r="D8" s="10">
        <f>SUM(D9:D10)</f>
        <v>45061</v>
      </c>
      <c r="E8" s="14" t="s">
        <v>40</v>
      </c>
      <c r="F8" s="26">
        <f>G8-C8-D8</f>
        <v>342368</v>
      </c>
      <c r="G8" s="56">
        <f t="shared" ref="G8:G19" si="0">H8+I8</f>
        <v>388509</v>
      </c>
      <c r="H8" s="10">
        <f>SUM(H9:H10)</f>
        <v>379341</v>
      </c>
      <c r="I8" s="10">
        <f t="shared" ref="I8:J8" si="1">SUM(I9:I10)</f>
        <v>9168</v>
      </c>
      <c r="J8" s="79">
        <f t="shared" si="1"/>
        <v>0</v>
      </c>
    </row>
    <row r="9" spans="2:12" ht="15.75" thickBot="1" x14ac:dyDescent="0.3">
      <c r="B9" s="9" t="s">
        <v>66</v>
      </c>
      <c r="C9" s="68">
        <v>1080</v>
      </c>
      <c r="D9" s="68">
        <f>10000+2500+1287</f>
        <v>13787</v>
      </c>
      <c r="E9" s="15" t="s">
        <v>9</v>
      </c>
      <c r="F9" s="27">
        <f>G9-C9-D9</f>
        <v>321273</v>
      </c>
      <c r="G9" s="77">
        <f t="shared" si="0"/>
        <v>336140</v>
      </c>
      <c r="H9" s="68">
        <f>336069-9168+71</f>
        <v>326972</v>
      </c>
      <c r="I9" s="68">
        <v>9168</v>
      </c>
      <c r="J9" s="80"/>
      <c r="L9" s="1">
        <v>336140</v>
      </c>
    </row>
    <row r="10" spans="2:12" ht="15.75" thickBot="1" x14ac:dyDescent="0.3">
      <c r="B10" s="9" t="s">
        <v>67</v>
      </c>
      <c r="C10" s="11"/>
      <c r="D10" s="68">
        <f>314+2500+5549+22911</f>
        <v>31274</v>
      </c>
      <c r="E10" s="15" t="s">
        <v>9</v>
      </c>
      <c r="F10" s="27">
        <f>G10-C10-D10</f>
        <v>21095</v>
      </c>
      <c r="G10" s="17">
        <f t="shared" si="0"/>
        <v>52369</v>
      </c>
      <c r="H10" s="68">
        <f>46062+6307</f>
        <v>52369</v>
      </c>
      <c r="I10" s="68"/>
      <c r="J10" s="80"/>
    </row>
    <row r="11" spans="2:12" ht="26.25" thickBot="1" x14ac:dyDescent="0.3">
      <c r="B11" s="8" t="s">
        <v>12</v>
      </c>
      <c r="C11" s="10">
        <f>SUM(C12:C14)</f>
        <v>0</v>
      </c>
      <c r="D11" s="10">
        <f>SUM(D12:D14)</f>
        <v>12129</v>
      </c>
      <c r="E11" s="14" t="s">
        <v>9</v>
      </c>
      <c r="F11" s="26">
        <f>G11-C11-D11</f>
        <v>298</v>
      </c>
      <c r="G11" s="56">
        <f t="shared" si="0"/>
        <v>12427</v>
      </c>
      <c r="H11" s="10">
        <f>SUM(H12:H14)</f>
        <v>12427</v>
      </c>
      <c r="I11" s="10">
        <f t="shared" ref="I11:J11" si="2">SUM(I12:I14)</f>
        <v>0</v>
      </c>
      <c r="J11" s="79">
        <f t="shared" si="2"/>
        <v>0</v>
      </c>
    </row>
    <row r="12" spans="2:12" ht="26.25" thickBot="1" x14ac:dyDescent="0.3">
      <c r="B12" s="9" t="s">
        <v>101</v>
      </c>
      <c r="C12" s="68"/>
      <c r="D12" s="68">
        <f>42</f>
        <v>42</v>
      </c>
      <c r="E12" s="15" t="s">
        <v>9</v>
      </c>
      <c r="F12" s="27">
        <f>G12-C12-D12-(D13-H13)</f>
        <v>298</v>
      </c>
      <c r="G12" s="17">
        <f t="shared" si="0"/>
        <v>12427</v>
      </c>
      <c r="H12" s="11">
        <v>12427</v>
      </c>
      <c r="I12" s="11"/>
      <c r="J12" s="80"/>
    </row>
    <row r="13" spans="2:12" ht="30" customHeight="1" thickBot="1" x14ac:dyDescent="0.3">
      <c r="B13" s="9" t="s">
        <v>102</v>
      </c>
      <c r="C13" s="11"/>
      <c r="D13" s="68">
        <v>12087</v>
      </c>
      <c r="E13" s="186" t="s">
        <v>138</v>
      </c>
      <c r="F13" s="187"/>
      <c r="G13" s="17">
        <f t="shared" si="0"/>
        <v>0</v>
      </c>
      <c r="H13" s="68"/>
      <c r="I13" s="11"/>
      <c r="J13" s="80"/>
    </row>
    <row r="14" spans="2:12" ht="15.75" thickBot="1" x14ac:dyDescent="0.3">
      <c r="B14" s="9" t="s">
        <v>68</v>
      </c>
      <c r="C14" s="11"/>
      <c r="D14" s="11"/>
      <c r="E14" s="15" t="s">
        <v>9</v>
      </c>
      <c r="F14" s="27">
        <f>G14-C14-D14</f>
        <v>0</v>
      </c>
      <c r="G14" s="17">
        <f t="shared" si="0"/>
        <v>0</v>
      </c>
      <c r="H14" s="68"/>
      <c r="I14" s="11"/>
      <c r="J14" s="80"/>
    </row>
    <row r="15" spans="2:12" ht="26.25" thickBot="1" x14ac:dyDescent="0.3">
      <c r="B15" s="8" t="s">
        <v>13</v>
      </c>
      <c r="C15" s="10">
        <f>SUM(C16:C19)</f>
        <v>0</v>
      </c>
      <c r="D15" s="10">
        <f>SUM(D16:D19)</f>
        <v>0</v>
      </c>
      <c r="E15" s="14" t="s">
        <v>35</v>
      </c>
      <c r="F15" s="26">
        <f>G15-C15-D15</f>
        <v>403043</v>
      </c>
      <c r="G15" s="56">
        <f t="shared" si="0"/>
        <v>403043</v>
      </c>
      <c r="H15" s="10">
        <f>SUM(H16:H19)</f>
        <v>393019</v>
      </c>
      <c r="I15" s="10">
        <f>SUM(I16:I19)</f>
        <v>10024</v>
      </c>
      <c r="J15" s="79">
        <f>SUM(J16:J19)</f>
        <v>49927</v>
      </c>
    </row>
    <row r="16" spans="2:12" ht="15.75" thickBot="1" x14ac:dyDescent="0.3">
      <c r="B16" s="9" t="s">
        <v>69</v>
      </c>
      <c r="C16" s="68"/>
      <c r="D16" s="11"/>
      <c r="E16" s="15" t="s">
        <v>10</v>
      </c>
      <c r="F16" s="27">
        <f>G16-C16-D16</f>
        <v>340933</v>
      </c>
      <c r="G16" s="17">
        <f t="shared" si="0"/>
        <v>340933</v>
      </c>
      <c r="H16" s="68">
        <v>330909</v>
      </c>
      <c r="I16" s="68">
        <v>10024</v>
      </c>
      <c r="J16" s="80"/>
      <c r="L16" s="1">
        <v>403043</v>
      </c>
    </row>
    <row r="17" spans="2:12" ht="32.1" customHeight="1" thickBot="1" x14ac:dyDescent="0.3">
      <c r="B17" s="9" t="s">
        <v>70</v>
      </c>
      <c r="C17" s="68"/>
      <c r="D17" s="68"/>
      <c r="E17" s="15" t="s">
        <v>10</v>
      </c>
      <c r="F17" s="27">
        <f>G17-C17-D17</f>
        <v>62110</v>
      </c>
      <c r="G17" s="17">
        <f t="shared" si="0"/>
        <v>62110</v>
      </c>
      <c r="H17" s="68">
        <v>62110</v>
      </c>
      <c r="I17" s="68"/>
      <c r="J17" s="80"/>
    </row>
    <row r="18" spans="2:12" ht="26.25" thickBot="1" x14ac:dyDescent="0.3">
      <c r="B18" s="9" t="s">
        <v>71</v>
      </c>
      <c r="C18" s="68"/>
      <c r="D18" s="68"/>
      <c r="E18" s="15" t="s">
        <v>10</v>
      </c>
      <c r="F18" s="69">
        <f t="shared" ref="F18:F19" si="3">G18-C18-D18</f>
        <v>0</v>
      </c>
      <c r="G18" s="17">
        <f t="shared" si="0"/>
        <v>0</v>
      </c>
      <c r="H18" s="68"/>
      <c r="I18" s="68"/>
      <c r="J18" s="80"/>
    </row>
    <row r="19" spans="2:12" ht="39" thickBot="1" x14ac:dyDescent="0.3">
      <c r="B19" s="9" t="s">
        <v>130</v>
      </c>
      <c r="C19" s="11"/>
      <c r="D19" s="11"/>
      <c r="E19" s="15" t="s">
        <v>10</v>
      </c>
      <c r="F19" s="27">
        <f t="shared" si="3"/>
        <v>0</v>
      </c>
      <c r="G19" s="17">
        <f t="shared" si="0"/>
        <v>0</v>
      </c>
      <c r="H19" s="68"/>
      <c r="I19" s="68"/>
      <c r="J19" s="90">
        <f>41329+8598</f>
        <v>49927</v>
      </c>
    </row>
    <row r="20" spans="2:12" ht="36.6" customHeight="1" thickBot="1" x14ac:dyDescent="0.3">
      <c r="B20" s="8" t="s">
        <v>38</v>
      </c>
      <c r="C20" s="10">
        <f>SUM(C21:C25)</f>
        <v>0</v>
      </c>
      <c r="D20" s="10">
        <f>SUM(D21:D25)</f>
        <v>0</v>
      </c>
      <c r="E20" s="14" t="s">
        <v>28</v>
      </c>
      <c r="F20" s="26">
        <f>G20-C20-D20</f>
        <v>144785</v>
      </c>
      <c r="G20" s="56">
        <f>H20+I20</f>
        <v>144785</v>
      </c>
      <c r="H20" s="10">
        <f>SUM(H21:H25)</f>
        <v>0</v>
      </c>
      <c r="I20" s="10">
        <f>SUM(I21:I25)</f>
        <v>144785</v>
      </c>
      <c r="J20" s="79">
        <f>SUM(J21:J25)</f>
        <v>30802</v>
      </c>
    </row>
    <row r="21" spans="2:12" ht="15.75" thickBot="1" x14ac:dyDescent="0.3">
      <c r="B21" s="41" t="s">
        <v>72</v>
      </c>
      <c r="C21" s="68"/>
      <c r="D21" s="11"/>
      <c r="E21" s="15" t="s">
        <v>10</v>
      </c>
      <c r="F21" s="27">
        <f>G21-C21-D21</f>
        <v>11731</v>
      </c>
      <c r="G21" s="17">
        <f>H21+I21</f>
        <v>11731</v>
      </c>
      <c r="H21" s="68"/>
      <c r="I21" s="68">
        <v>11731</v>
      </c>
      <c r="J21" s="90">
        <v>3160</v>
      </c>
    </row>
    <row r="22" spans="2:12" ht="26.25" thickBot="1" x14ac:dyDescent="0.3">
      <c r="B22" s="41" t="s">
        <v>73</v>
      </c>
      <c r="C22" s="68"/>
      <c r="D22" s="11"/>
      <c r="E22" s="15" t="s">
        <v>9</v>
      </c>
      <c r="F22" s="27">
        <f>G22-C22-D22</f>
        <v>33518</v>
      </c>
      <c r="G22" s="17">
        <f>H22+I22</f>
        <v>33518</v>
      </c>
      <c r="H22" s="68"/>
      <c r="I22" s="68">
        <f>33518</f>
        <v>33518</v>
      </c>
      <c r="J22" s="80">
        <v>0</v>
      </c>
    </row>
    <row r="23" spans="2:12" ht="15.75" thickBot="1" x14ac:dyDescent="0.3">
      <c r="B23" s="41" t="s">
        <v>74</v>
      </c>
      <c r="C23" s="11"/>
      <c r="D23" s="11"/>
      <c r="E23" s="15" t="s">
        <v>9</v>
      </c>
      <c r="F23" s="27">
        <f>G23-C23-D23</f>
        <v>6002</v>
      </c>
      <c r="G23" s="17">
        <f>H23+I23</f>
        <v>6002</v>
      </c>
      <c r="H23" s="68"/>
      <c r="I23" s="68">
        <v>6002</v>
      </c>
      <c r="J23" s="80"/>
    </row>
    <row r="24" spans="2:12" ht="39" thickBot="1" x14ac:dyDescent="0.3">
      <c r="B24" s="41" t="s">
        <v>127</v>
      </c>
      <c r="C24" s="11"/>
      <c r="D24" s="11"/>
      <c r="E24" s="15" t="s">
        <v>9</v>
      </c>
      <c r="F24" s="27">
        <f t="shared" ref="F24:F25" si="4">G24-C24-D24</f>
        <v>87706</v>
      </c>
      <c r="G24" s="17">
        <f>H24+I24</f>
        <v>87706</v>
      </c>
      <c r="H24" s="68"/>
      <c r="I24" s="68">
        <f>22102+6687+3614+10939+6179-2731+283+15585-874+335+10789+4590+1692+8516</f>
        <v>87706</v>
      </c>
      <c r="J24" s="84">
        <f>6572+440+9380+4106</f>
        <v>20498</v>
      </c>
      <c r="L24" s="1" t="s">
        <v>181</v>
      </c>
    </row>
    <row r="25" spans="2:12" ht="26.25" thickBot="1" x14ac:dyDescent="0.3">
      <c r="B25" s="41" t="s">
        <v>75</v>
      </c>
      <c r="C25" s="11"/>
      <c r="D25" s="11"/>
      <c r="E25" s="15" t="s">
        <v>9</v>
      </c>
      <c r="F25" s="27">
        <f t="shared" si="4"/>
        <v>5828</v>
      </c>
      <c r="G25" s="17">
        <f t="shared" ref="G25" si="5">H25+I25</f>
        <v>5828</v>
      </c>
      <c r="H25" s="11"/>
      <c r="I25" s="11">
        <f>1057+4771</f>
        <v>5828</v>
      </c>
      <c r="J25" s="90">
        <f>4511+2633</f>
        <v>7144</v>
      </c>
    </row>
    <row r="26" spans="2:12" ht="15.75" thickBot="1" x14ac:dyDescent="0.3">
      <c r="B26" s="8" t="s">
        <v>14</v>
      </c>
      <c r="C26" s="10">
        <f>SUM(C27:C29)</f>
        <v>0</v>
      </c>
      <c r="D26" s="10">
        <f>SUM(D27:D29)</f>
        <v>0</v>
      </c>
      <c r="E26" s="14" t="s">
        <v>9</v>
      </c>
      <c r="F26" s="26">
        <f>G26-C26-D26</f>
        <v>21965</v>
      </c>
      <c r="G26" s="56">
        <f>H26+I26</f>
        <v>21965</v>
      </c>
      <c r="H26" s="10">
        <f>SUM(H27:H29)</f>
        <v>0</v>
      </c>
      <c r="I26" s="10">
        <f t="shared" ref="I26:J26" si="6">SUM(I27:I29)</f>
        <v>21965</v>
      </c>
      <c r="J26" s="79">
        <f t="shared" si="6"/>
        <v>621</v>
      </c>
    </row>
    <row r="27" spans="2:12" ht="24.75" thickBot="1" x14ac:dyDescent="0.3">
      <c r="B27" s="9" t="s">
        <v>76</v>
      </c>
      <c r="C27" s="11"/>
      <c r="D27" s="11"/>
      <c r="E27" s="15" t="s">
        <v>41</v>
      </c>
      <c r="F27" s="27">
        <f>G27-C27-D27</f>
        <v>13104</v>
      </c>
      <c r="G27" s="17">
        <f>H27+I27</f>
        <v>13104</v>
      </c>
      <c r="H27" s="61"/>
      <c r="I27" s="68">
        <v>13104</v>
      </c>
      <c r="J27" s="90">
        <v>621</v>
      </c>
    </row>
    <row r="28" spans="2:12" ht="39" thickBot="1" x14ac:dyDescent="0.3">
      <c r="B28" s="9" t="s">
        <v>77</v>
      </c>
      <c r="C28" s="68"/>
      <c r="D28" s="11"/>
      <c r="E28" s="15" t="s">
        <v>10</v>
      </c>
      <c r="F28" s="27">
        <f>G28-C28-D28</f>
        <v>8861</v>
      </c>
      <c r="G28" s="17">
        <f>H28+I28</f>
        <v>8861</v>
      </c>
      <c r="H28" s="61"/>
      <c r="I28" s="68">
        <f>8218+643</f>
        <v>8861</v>
      </c>
      <c r="J28" s="80"/>
    </row>
    <row r="29" spans="2:12" ht="15.75" thickBot="1" x14ac:dyDescent="0.3">
      <c r="B29" s="9" t="s">
        <v>78</v>
      </c>
      <c r="C29" s="68"/>
      <c r="D29" s="11"/>
      <c r="E29" s="15" t="s">
        <v>10</v>
      </c>
      <c r="F29" s="69">
        <f t="shared" ref="F29" si="7">G29-C29-D29</f>
        <v>0</v>
      </c>
      <c r="G29" s="17">
        <f t="shared" ref="G29" si="8">H29+I29</f>
        <v>0</v>
      </c>
      <c r="H29" s="68"/>
      <c r="I29" s="68"/>
      <c r="J29" s="80"/>
    </row>
    <row r="30" spans="2:12" ht="34.35" customHeight="1" thickBot="1" x14ac:dyDescent="0.3">
      <c r="B30" s="8" t="s">
        <v>15</v>
      </c>
      <c r="C30" s="10">
        <f>SUM(C31:C34)</f>
        <v>204021</v>
      </c>
      <c r="D30" s="10">
        <f>SUM(D31:D34)</f>
        <v>0</v>
      </c>
      <c r="E30" s="14" t="s">
        <v>9</v>
      </c>
      <c r="F30" s="26">
        <f>G30-C30-D30</f>
        <v>27903</v>
      </c>
      <c r="G30" s="56">
        <f>H30+I30</f>
        <v>231924</v>
      </c>
      <c r="H30" s="10">
        <f>SUM(H31:H34)</f>
        <v>231924</v>
      </c>
      <c r="I30" s="10">
        <f>SUM(I31:I34)</f>
        <v>0</v>
      </c>
      <c r="J30" s="79">
        <f>SUM(J31:J34)</f>
        <v>0</v>
      </c>
    </row>
    <row r="31" spans="2:12" ht="26.25" thickBot="1" x14ac:dyDescent="0.3">
      <c r="B31" s="9" t="s">
        <v>133</v>
      </c>
      <c r="C31" s="155"/>
      <c r="D31" s="11"/>
      <c r="E31" s="15" t="s">
        <v>9</v>
      </c>
      <c r="F31" s="171">
        <f>(G31+G32)-C31</f>
        <v>4300</v>
      </c>
      <c r="G31" s="17">
        <f>H31+I31</f>
        <v>4300</v>
      </c>
      <c r="H31" s="68">
        <v>4300</v>
      </c>
      <c r="I31" s="11"/>
      <c r="J31" s="80"/>
    </row>
    <row r="32" spans="2:12" ht="39" thickBot="1" x14ac:dyDescent="0.3">
      <c r="B32" s="9" t="s">
        <v>79</v>
      </c>
      <c r="C32" s="156"/>
      <c r="D32" s="11"/>
      <c r="E32" s="15" t="s">
        <v>9</v>
      </c>
      <c r="F32" s="172"/>
      <c r="G32" s="17">
        <f t="shared" ref="G32" si="9">H32+I32</f>
        <v>0</v>
      </c>
      <c r="H32" s="87"/>
      <c r="I32" s="11"/>
      <c r="J32" s="80"/>
    </row>
    <row r="33" spans="2:10" ht="48" customHeight="1" thickBot="1" x14ac:dyDescent="0.3">
      <c r="B33" s="9" t="s">
        <v>128</v>
      </c>
      <c r="C33" s="68">
        <v>204021</v>
      </c>
      <c r="D33" s="11"/>
      <c r="E33" s="15" t="s">
        <v>9</v>
      </c>
      <c r="F33" s="27">
        <f>G33-C33-D33</f>
        <v>23563</v>
      </c>
      <c r="G33" s="17">
        <f>H33+I33</f>
        <v>227584</v>
      </c>
      <c r="H33" s="68">
        <f>204021+24751-1188</f>
        <v>227584</v>
      </c>
      <c r="I33" s="11"/>
      <c r="J33" s="80"/>
    </row>
    <row r="34" spans="2:10" ht="26.25" thickBot="1" x14ac:dyDescent="0.3">
      <c r="B34" s="9" t="s">
        <v>80</v>
      </c>
      <c r="C34" s="68"/>
      <c r="D34" s="11"/>
      <c r="E34" s="15" t="s">
        <v>9</v>
      </c>
      <c r="F34" s="27">
        <f t="shared" ref="F34" si="10">G34-C34-D34</f>
        <v>40</v>
      </c>
      <c r="G34" s="17">
        <f t="shared" ref="G34" si="11">H34+I34</f>
        <v>40</v>
      </c>
      <c r="H34" s="68">
        <v>40</v>
      </c>
      <c r="I34" s="11"/>
      <c r="J34" s="80"/>
    </row>
    <row r="35" spans="2:10" ht="26.25" thickBot="1" x14ac:dyDescent="0.3">
      <c r="B35" s="8" t="s">
        <v>16</v>
      </c>
      <c r="C35" s="10">
        <f>SUM(C36:C39)</f>
        <v>0</v>
      </c>
      <c r="D35" s="10">
        <f>SUM(D36:D39)</f>
        <v>17332</v>
      </c>
      <c r="E35" s="14" t="s">
        <v>9</v>
      </c>
      <c r="F35" s="26">
        <f>G35-C35-D35</f>
        <v>12223</v>
      </c>
      <c r="G35" s="56">
        <f>H35+I35</f>
        <v>29555</v>
      </c>
      <c r="H35" s="10">
        <f>SUM(H36:H39)</f>
        <v>20410</v>
      </c>
      <c r="I35" s="10">
        <f t="shared" ref="I35:J35" si="12">SUM(I36:I39)</f>
        <v>9145</v>
      </c>
      <c r="J35" s="79">
        <f t="shared" si="12"/>
        <v>5868</v>
      </c>
    </row>
    <row r="36" spans="2:10" ht="15.75" thickBot="1" x14ac:dyDescent="0.3">
      <c r="B36" s="9" t="s">
        <v>81</v>
      </c>
      <c r="C36" s="68"/>
      <c r="D36" s="11">
        <f>9675+545</f>
        <v>10220</v>
      </c>
      <c r="E36" s="67" t="s">
        <v>9</v>
      </c>
      <c r="F36" s="27">
        <f>G36-C36-D36</f>
        <v>-382</v>
      </c>
      <c r="G36" s="17">
        <f>H36+I36</f>
        <v>9838</v>
      </c>
      <c r="H36" s="68">
        <f>7920+1040+878</f>
        <v>9838</v>
      </c>
      <c r="I36" s="68"/>
      <c r="J36" s="80"/>
    </row>
    <row r="37" spans="2:10" ht="26.25" thickBot="1" x14ac:dyDescent="0.3">
      <c r="B37" s="9" t="s">
        <v>82</v>
      </c>
      <c r="C37" s="11"/>
      <c r="D37" s="11">
        <f>5600+1512</f>
        <v>7112</v>
      </c>
      <c r="E37" s="67" t="s">
        <v>10</v>
      </c>
      <c r="F37" s="27">
        <f>G37-C37-D37</f>
        <v>9145</v>
      </c>
      <c r="G37" s="17">
        <f>H37+I37</f>
        <v>16257</v>
      </c>
      <c r="H37" s="68">
        <v>7112</v>
      </c>
      <c r="I37" s="68">
        <v>9145</v>
      </c>
      <c r="J37" s="90">
        <v>5868</v>
      </c>
    </row>
    <row r="38" spans="2:10" ht="15.75" thickBot="1" x14ac:dyDescent="0.3">
      <c r="B38" s="9" t="s">
        <v>83</v>
      </c>
      <c r="C38" s="11"/>
      <c r="D38" s="11"/>
      <c r="E38" s="67" t="s">
        <v>9</v>
      </c>
      <c r="F38" s="27">
        <f t="shared" ref="F38:F39" si="13">G38-C38-D38</f>
        <v>2272</v>
      </c>
      <c r="G38" s="17">
        <f t="shared" ref="G38:G39" si="14">H38+I38</f>
        <v>2272</v>
      </c>
      <c r="H38" s="68">
        <v>2272</v>
      </c>
      <c r="I38" s="68"/>
      <c r="J38" s="80"/>
    </row>
    <row r="39" spans="2:10" ht="15.75" thickBot="1" x14ac:dyDescent="0.3">
      <c r="B39" s="9" t="s">
        <v>84</v>
      </c>
      <c r="C39" s="11"/>
      <c r="D39" s="11"/>
      <c r="E39" s="67" t="s">
        <v>9</v>
      </c>
      <c r="F39" s="27">
        <f t="shared" si="13"/>
        <v>1188</v>
      </c>
      <c r="G39" s="17">
        <f t="shared" si="14"/>
        <v>1188</v>
      </c>
      <c r="H39" s="68">
        <v>1188</v>
      </c>
      <c r="I39" s="68"/>
      <c r="J39" s="80"/>
    </row>
    <row r="40" spans="2:10" ht="15.75" thickBot="1" x14ac:dyDescent="0.3">
      <c r="B40" s="8" t="s">
        <v>17</v>
      </c>
      <c r="C40" s="10">
        <f>SUM(C41:C44)</f>
        <v>0</v>
      </c>
      <c r="D40" s="10">
        <f>SUM(D41:D44)</f>
        <v>0</v>
      </c>
      <c r="E40" s="14" t="s">
        <v>9</v>
      </c>
      <c r="F40" s="26">
        <f>G40-C40-D40</f>
        <v>147480</v>
      </c>
      <c r="G40" s="56">
        <f>H40+I40</f>
        <v>147480</v>
      </c>
      <c r="H40" s="10">
        <f>SUM(H41:H44)</f>
        <v>0</v>
      </c>
      <c r="I40" s="10">
        <f>SUM(I41:I44)</f>
        <v>147480</v>
      </c>
      <c r="J40" s="79">
        <f>SUM(J41:J44)</f>
        <v>6480</v>
      </c>
    </row>
    <row r="41" spans="2:10" ht="39" thickBot="1" x14ac:dyDescent="0.3">
      <c r="B41" s="9" t="s">
        <v>129</v>
      </c>
      <c r="C41" s="155"/>
      <c r="D41" s="11"/>
      <c r="E41" s="15" t="s">
        <v>9</v>
      </c>
      <c r="F41" s="27">
        <f>G41-C41-D41</f>
        <v>106057</v>
      </c>
      <c r="G41" s="17">
        <f>H41+I41</f>
        <v>106057</v>
      </c>
      <c r="H41" s="68"/>
      <c r="I41" s="68">
        <f>99757+6300</f>
        <v>106057</v>
      </c>
      <c r="J41" s="90">
        <v>3684</v>
      </c>
    </row>
    <row r="42" spans="2:10" ht="15.75" thickBot="1" x14ac:dyDescent="0.3">
      <c r="B42" s="9" t="s">
        <v>85</v>
      </c>
      <c r="C42" s="157"/>
      <c r="D42" s="11"/>
      <c r="E42" s="15" t="s">
        <v>9</v>
      </c>
      <c r="F42" s="27">
        <f>G42-C42-D42</f>
        <v>0</v>
      </c>
      <c r="G42" s="17">
        <f>H42+I42</f>
        <v>0</v>
      </c>
      <c r="H42" s="68"/>
      <c r="I42" s="68"/>
      <c r="J42" s="80"/>
    </row>
    <row r="43" spans="2:10" ht="26.25" thickBot="1" x14ac:dyDescent="0.3">
      <c r="B43" s="9" t="s">
        <v>86</v>
      </c>
      <c r="C43" s="157"/>
      <c r="D43" s="11"/>
      <c r="E43" s="15" t="s">
        <v>9</v>
      </c>
      <c r="F43" s="27">
        <f t="shared" ref="F43:F44" si="15">G43-C43-D43</f>
        <v>19917</v>
      </c>
      <c r="G43" s="17">
        <f t="shared" ref="G43:G44" si="16">H43+I43</f>
        <v>19917</v>
      </c>
      <c r="H43" s="68"/>
      <c r="I43" s="68">
        <v>19917</v>
      </c>
      <c r="J43" s="90">
        <v>396</v>
      </c>
    </row>
    <row r="44" spans="2:10" ht="15.75" thickBot="1" x14ac:dyDescent="0.3">
      <c r="B44" s="53" t="s">
        <v>87</v>
      </c>
      <c r="C44" s="156"/>
      <c r="D44" s="47"/>
      <c r="E44" s="15" t="s">
        <v>9</v>
      </c>
      <c r="F44" s="54">
        <f t="shared" si="15"/>
        <v>21506</v>
      </c>
      <c r="G44" s="55">
        <f t="shared" si="16"/>
        <v>21506</v>
      </c>
      <c r="H44" s="88"/>
      <c r="I44" s="88">
        <v>21506</v>
      </c>
      <c r="J44" s="91">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162</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11200</v>
      </c>
      <c r="G52" s="56">
        <f>H52+I52</f>
        <v>11200</v>
      </c>
      <c r="H52" s="10">
        <f>SUM(H53:H56)</f>
        <v>11200</v>
      </c>
      <c r="I52" s="10">
        <f>SUM(I53:I56)</f>
        <v>0</v>
      </c>
      <c r="J52" s="79">
        <f>SUM(J53:J56)</f>
        <v>0</v>
      </c>
    </row>
    <row r="53" spans="2:10" ht="26.25" thickBot="1" x14ac:dyDescent="0.3">
      <c r="B53" s="9" t="s">
        <v>88</v>
      </c>
      <c r="C53" s="11"/>
      <c r="D53" s="11"/>
      <c r="E53" s="15" t="s">
        <v>19</v>
      </c>
      <c r="F53" s="27">
        <f>G53-C53-D53</f>
        <v>8000</v>
      </c>
      <c r="G53" s="17">
        <f>H53+I53</f>
        <v>8000</v>
      </c>
      <c r="H53" s="68">
        <v>8000</v>
      </c>
      <c r="I53" s="11"/>
      <c r="J53" s="80"/>
    </row>
    <row r="54" spans="2:10" ht="21" customHeight="1" thickBot="1" x14ac:dyDescent="0.3">
      <c r="B54" s="9" t="s">
        <v>89</v>
      </c>
      <c r="C54" s="11"/>
      <c r="D54" s="11"/>
      <c r="E54" s="15" t="s">
        <v>19</v>
      </c>
      <c r="F54" s="27">
        <f t="shared" ref="F54" si="17">G54-C54-D54</f>
        <v>2000</v>
      </c>
      <c r="G54" s="17">
        <f t="shared" ref="G54" si="18">H54+I54</f>
        <v>2000</v>
      </c>
      <c r="H54" s="68">
        <v>2000</v>
      </c>
      <c r="I54" s="11"/>
      <c r="J54" s="80"/>
    </row>
    <row r="55" spans="2:10" ht="26.25" thickBot="1" x14ac:dyDescent="0.3">
      <c r="B55" s="9" t="s">
        <v>90</v>
      </c>
      <c r="C55" s="11"/>
      <c r="D55" s="11"/>
      <c r="E55" s="15" t="s">
        <v>9</v>
      </c>
      <c r="F55" s="27">
        <f>G55-C55-D55</f>
        <v>0</v>
      </c>
      <c r="G55" s="17">
        <f>H55+I55</f>
        <v>0</v>
      </c>
      <c r="H55" s="68"/>
      <c r="I55" s="11"/>
      <c r="J55" s="80"/>
    </row>
    <row r="56" spans="2:10" ht="26.25" thickBot="1" x14ac:dyDescent="0.3">
      <c r="B56" s="9" t="s">
        <v>91</v>
      </c>
      <c r="C56" s="11"/>
      <c r="D56" s="11"/>
      <c r="E56" s="15" t="s">
        <v>9</v>
      </c>
      <c r="F56" s="27">
        <f t="shared" ref="F56" si="19">G56-C56-D56</f>
        <v>1200</v>
      </c>
      <c r="G56" s="17">
        <f t="shared" ref="G56" si="20">H56+I56</f>
        <v>1200</v>
      </c>
      <c r="H56" s="68">
        <f>100+500+300+300</f>
        <v>1200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0</v>
      </c>
    </row>
    <row r="58" spans="2:10" ht="26.25" thickBot="1" x14ac:dyDescent="0.3">
      <c r="B58" s="9" t="s">
        <v>139</v>
      </c>
      <c r="C58" s="11"/>
      <c r="D58" s="11"/>
      <c r="E58" s="15" t="s">
        <v>9</v>
      </c>
      <c r="F58" s="27">
        <f>G58-C58-D58</f>
        <v>0</v>
      </c>
      <c r="G58" s="17">
        <f>H58+I58</f>
        <v>0</v>
      </c>
      <c r="H58" s="11">
        <v>0</v>
      </c>
      <c r="I58" s="11"/>
      <c r="J58" s="90"/>
    </row>
    <row r="59" spans="2:10" ht="15.75" thickBot="1" x14ac:dyDescent="0.3">
      <c r="B59" s="9" t="s">
        <v>92</v>
      </c>
      <c r="C59" s="11"/>
      <c r="D59" s="11"/>
      <c r="E59" s="15" t="s">
        <v>9</v>
      </c>
      <c r="F59" s="27">
        <f>G59-C59-D59</f>
        <v>0</v>
      </c>
      <c r="G59" s="17">
        <f>H59+I59</f>
        <v>0</v>
      </c>
      <c r="H59" s="11">
        <v>0</v>
      </c>
      <c r="I59" s="11"/>
      <c r="J59" s="90"/>
    </row>
    <row r="60" spans="2:10" ht="32.1" customHeight="1" thickBot="1" x14ac:dyDescent="0.3">
      <c r="B60" s="9" t="s">
        <v>93</v>
      </c>
      <c r="C60" s="11"/>
      <c r="D60" s="11"/>
      <c r="E60" s="15" t="s">
        <v>9</v>
      </c>
      <c r="F60" s="27">
        <f t="shared" ref="F60:F62" si="22">G60-C60-D60</f>
        <v>0</v>
      </c>
      <c r="G60" s="17">
        <f t="shared" ref="G60:G61" si="23">H60+I60</f>
        <v>0</v>
      </c>
      <c r="H60" s="11">
        <v>0</v>
      </c>
      <c r="I60" s="11"/>
      <c r="J60" s="90"/>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205101</v>
      </c>
      <c r="D62" s="21">
        <f>D57+D52+D40+D35+D30+D26+D20+D15+D11+D8</f>
        <v>74522</v>
      </c>
      <c r="E62" s="43"/>
      <c r="F62" s="31">
        <f t="shared" si="22"/>
        <v>1121265</v>
      </c>
      <c r="G62" s="44">
        <f>G57+G52+G40+G35+G30+G26+G20+G15+G11+G8</f>
        <v>1400888</v>
      </c>
      <c r="H62" s="21">
        <f>H57+H52+H40+H35+H30+H26+H20+H15+H11+H8</f>
        <v>1058321</v>
      </c>
      <c r="I62" s="45">
        <f>I57+I52+I40+I35+I30+I26+I20+I15+I11+I8</f>
        <v>342567</v>
      </c>
      <c r="J62" s="46">
        <f>J57+J52+J40+J35+J30+J26+J20+J15+J11+J8</f>
        <v>93698</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0</v>
      </c>
      <c r="D66" s="10">
        <f>SUM(D67:D70)</f>
        <v>29096</v>
      </c>
      <c r="E66" s="14"/>
      <c r="F66" s="10">
        <f>SUM(F67:F70)</f>
        <v>-464765</v>
      </c>
      <c r="G66" s="86">
        <f>SUM(G67:G70)</f>
        <v>-435669</v>
      </c>
      <c r="H66" s="162"/>
      <c r="I66" s="163"/>
      <c r="J66" s="163"/>
    </row>
    <row r="67" spans="2:10" ht="45.75" thickBot="1" x14ac:dyDescent="0.3">
      <c r="B67" s="9" t="s">
        <v>95</v>
      </c>
      <c r="C67" s="11"/>
      <c r="D67" s="11"/>
      <c r="E67" s="66" t="s">
        <v>50</v>
      </c>
      <c r="F67" s="27">
        <v>10000</v>
      </c>
      <c r="G67" s="77">
        <f>C67+D67+F67</f>
        <v>10000</v>
      </c>
      <c r="H67" s="162"/>
      <c r="I67" s="163"/>
      <c r="J67" s="163"/>
    </row>
    <row r="68" spans="2:10" ht="45.75" thickBot="1" x14ac:dyDescent="0.3">
      <c r="B68" s="9" t="s">
        <v>96</v>
      </c>
      <c r="C68" s="11"/>
      <c r="D68" s="68">
        <f>589+22321+160+6026</f>
        <v>29096</v>
      </c>
      <c r="E68" s="66" t="s">
        <v>47</v>
      </c>
      <c r="F68" s="27"/>
      <c r="G68" s="77">
        <f>C68+D68+F68-F75</f>
        <v>29096</v>
      </c>
      <c r="H68" s="162"/>
      <c r="I68" s="163"/>
      <c r="J68" s="163"/>
    </row>
    <row r="69" spans="2:10" ht="45.75" thickBot="1" x14ac:dyDescent="0.3">
      <c r="B69" s="9" t="s">
        <v>97</v>
      </c>
      <c r="C69" s="11"/>
      <c r="D69" s="11"/>
      <c r="E69" s="66" t="s">
        <v>150</v>
      </c>
      <c r="F69" s="27"/>
      <c r="G69" s="77">
        <f>C69+D69+F69</f>
        <v>0</v>
      </c>
      <c r="H69" s="164"/>
      <c r="I69" s="165"/>
      <c r="J69" s="165"/>
    </row>
    <row r="70" spans="2:10" ht="44.1" customHeight="1" thickBot="1" x14ac:dyDescent="0.3">
      <c r="B70" s="9" t="s">
        <v>107</v>
      </c>
      <c r="C70" s="11"/>
      <c r="D70" s="68"/>
      <c r="E70" s="66" t="s">
        <v>148</v>
      </c>
      <c r="F70" s="83">
        <f>G95</f>
        <v>-474765</v>
      </c>
      <c r="G70" s="77">
        <f>C70+D70+F70-F73-F74-F78-F79-F80-F81-F82-F83-F84-F85-F86</f>
        <v>-474765</v>
      </c>
      <c r="H70" s="173" t="s">
        <v>149</v>
      </c>
      <c r="I70" s="174"/>
      <c r="J70" s="174"/>
    </row>
    <row r="71" spans="2:10" ht="34.3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25000</v>
      </c>
      <c r="E72" s="14"/>
      <c r="F72" s="26">
        <f>SUM(F73:F76)</f>
        <v>0</v>
      </c>
      <c r="G72" s="56">
        <f>SUM(C72+D72+F72)</f>
        <v>25000</v>
      </c>
      <c r="H72" s="158" t="s">
        <v>131</v>
      </c>
      <c r="I72" s="159"/>
      <c r="J72" s="159"/>
    </row>
    <row r="73" spans="2:10" ht="27" customHeight="1" thickBot="1" x14ac:dyDescent="0.3">
      <c r="B73" s="9" t="s">
        <v>98</v>
      </c>
      <c r="C73" s="11"/>
      <c r="D73" s="11"/>
      <c r="E73" s="66" t="s">
        <v>51</v>
      </c>
      <c r="F73" s="69"/>
      <c r="G73" s="17">
        <f t="shared" ref="G73:G75" si="24">SUM(C73+D73+F73)</f>
        <v>0</v>
      </c>
      <c r="H73" s="129" t="s">
        <v>53</v>
      </c>
      <c r="I73" s="129" t="s">
        <v>64</v>
      </c>
      <c r="J73" s="129" t="s">
        <v>132</v>
      </c>
    </row>
    <row r="74" spans="2:10" ht="26.25" thickBot="1" x14ac:dyDescent="0.3">
      <c r="B74" s="9" t="s">
        <v>106</v>
      </c>
      <c r="C74" s="11"/>
      <c r="D74" s="11"/>
      <c r="E74" s="66" t="s">
        <v>51</v>
      </c>
      <c r="F74" s="69"/>
      <c r="G74" s="77">
        <f t="shared" si="24"/>
        <v>0</v>
      </c>
      <c r="H74" s="130"/>
      <c r="I74" s="130"/>
      <c r="J74" s="130"/>
    </row>
    <row r="75" spans="2:10" ht="26.25" thickBot="1" x14ac:dyDescent="0.3">
      <c r="B75" s="9" t="s">
        <v>99</v>
      </c>
      <c r="C75" s="11"/>
      <c r="D75" s="11"/>
      <c r="E75" s="66" t="s">
        <v>152</v>
      </c>
      <c r="F75" s="69"/>
      <c r="G75" s="77">
        <f t="shared" si="24"/>
        <v>0</v>
      </c>
      <c r="H75" s="130"/>
      <c r="I75" s="130"/>
      <c r="J75" s="130"/>
    </row>
    <row r="76" spans="2:10" ht="26.25" thickBot="1" x14ac:dyDescent="0.3">
      <c r="B76" s="9" t="s">
        <v>100</v>
      </c>
      <c r="C76" s="11"/>
      <c r="D76" s="11">
        <v>25000</v>
      </c>
      <c r="E76" s="66" t="s">
        <v>9</v>
      </c>
      <c r="F76" s="69"/>
      <c r="G76" s="77">
        <f>SUM(C76+D76+F76)</f>
        <v>25000</v>
      </c>
      <c r="H76" s="131"/>
      <c r="I76" s="131"/>
      <c r="J76" s="131"/>
    </row>
    <row r="77" spans="2:10" ht="26.25" thickBot="1" x14ac:dyDescent="0.3">
      <c r="B77" s="8" t="s">
        <v>57</v>
      </c>
      <c r="C77" s="10">
        <f>SUM(C79:C86)</f>
        <v>0</v>
      </c>
      <c r="D77" s="10">
        <f>SUM(D79:D86)</f>
        <v>0</v>
      </c>
      <c r="E77" s="14"/>
      <c r="F77" s="10">
        <f>SUM(F78:F86)</f>
        <v>0</v>
      </c>
      <c r="G77" s="56">
        <f>SUM(C77+D77+F77)</f>
        <v>0</v>
      </c>
      <c r="H77" s="62">
        <f>SUM(H79:H86)</f>
        <v>0</v>
      </c>
      <c r="I77" s="65">
        <f>SUM(I79:I86)</f>
        <v>0</v>
      </c>
      <c r="J77" s="65">
        <f>SUM(J79:J86)</f>
        <v>0</v>
      </c>
    </row>
    <row r="78" spans="2:10" ht="46.35" customHeight="1" thickBot="1" x14ac:dyDescent="0.3">
      <c r="B78" s="9" t="s">
        <v>52</v>
      </c>
      <c r="C78" s="11"/>
      <c r="D78" s="11"/>
      <c r="E78" s="126" t="s">
        <v>151</v>
      </c>
      <c r="F78" s="27"/>
      <c r="G78" s="17">
        <f t="shared" ref="G78:G86" si="25">C78+D78+F78</f>
        <v>0</v>
      </c>
      <c r="H78" s="63"/>
      <c r="I78" s="63"/>
      <c r="J78" s="64">
        <f>SUM(G78:I78)</f>
        <v>0</v>
      </c>
    </row>
    <row r="79" spans="2:10" ht="15" customHeight="1" thickBot="1" x14ac:dyDescent="0.3">
      <c r="B79" s="9" t="s">
        <v>157</v>
      </c>
      <c r="C79" s="11"/>
      <c r="D79" s="11"/>
      <c r="E79" s="127"/>
      <c r="F79" s="27"/>
      <c r="G79" s="17">
        <f t="shared" si="25"/>
        <v>0</v>
      </c>
      <c r="H79" s="63"/>
      <c r="I79" s="63"/>
      <c r="J79" s="64">
        <f>SUM(G79:I79)</f>
        <v>0</v>
      </c>
    </row>
    <row r="80" spans="2:10" ht="15.75" thickBot="1" x14ac:dyDescent="0.3">
      <c r="B80" s="9" t="s">
        <v>26</v>
      </c>
      <c r="C80" s="68"/>
      <c r="D80" s="11"/>
      <c r="E80" s="127"/>
      <c r="F80" s="27"/>
      <c r="G80" s="77">
        <f t="shared" si="25"/>
        <v>0</v>
      </c>
      <c r="H80" s="63"/>
      <c r="I80" s="63"/>
      <c r="J80" s="64">
        <f t="shared" ref="J80:J86" si="26">SUM(G80:I80)</f>
        <v>0</v>
      </c>
    </row>
    <row r="81" spans="2:10" ht="15.75" thickBot="1" x14ac:dyDescent="0.3">
      <c r="B81" s="9" t="s">
        <v>25</v>
      </c>
      <c r="C81" s="68"/>
      <c r="D81" s="11"/>
      <c r="E81" s="127"/>
      <c r="F81" s="27"/>
      <c r="G81" s="77">
        <f t="shared" si="25"/>
        <v>0</v>
      </c>
      <c r="H81" s="63"/>
      <c r="I81" s="63"/>
      <c r="J81" s="64">
        <f t="shared" si="26"/>
        <v>0</v>
      </c>
    </row>
    <row r="82" spans="2:10" ht="15.75" thickBot="1" x14ac:dyDescent="0.3">
      <c r="B82" s="9" t="s">
        <v>62</v>
      </c>
      <c r="C82" s="11"/>
      <c r="D82" s="11"/>
      <c r="E82" s="127"/>
      <c r="F82" s="27"/>
      <c r="G82" s="77">
        <f t="shared" si="25"/>
        <v>0</v>
      </c>
      <c r="H82" s="63"/>
      <c r="I82" s="63"/>
      <c r="J82" s="64">
        <f t="shared" si="26"/>
        <v>0</v>
      </c>
    </row>
    <row r="83" spans="2:10" ht="15.75" thickBot="1" x14ac:dyDescent="0.3">
      <c r="B83" s="9" t="s">
        <v>156</v>
      </c>
      <c r="C83" s="11"/>
      <c r="D83" s="11"/>
      <c r="E83" s="127"/>
      <c r="F83" s="27"/>
      <c r="G83" s="77">
        <f t="shared" si="25"/>
        <v>0</v>
      </c>
      <c r="H83" s="63"/>
      <c r="I83" s="63"/>
      <c r="J83" s="64">
        <f t="shared" si="26"/>
        <v>0</v>
      </c>
    </row>
    <row r="84" spans="2:10" ht="15.75" thickBot="1" x14ac:dyDescent="0.3">
      <c r="B84" s="9" t="s">
        <v>61</v>
      </c>
      <c r="C84" s="11"/>
      <c r="D84" s="11"/>
      <c r="E84" s="127"/>
      <c r="F84" s="27"/>
      <c r="G84" s="77">
        <f t="shared" si="25"/>
        <v>0</v>
      </c>
      <c r="H84" s="63"/>
      <c r="I84" s="63"/>
      <c r="J84" s="64">
        <f t="shared" si="26"/>
        <v>0</v>
      </c>
    </row>
    <row r="85" spans="2:10" ht="15.75" thickBot="1" x14ac:dyDescent="0.3">
      <c r="B85" s="9" t="s">
        <v>27</v>
      </c>
      <c r="C85" s="11"/>
      <c r="D85" s="11"/>
      <c r="E85" s="127"/>
      <c r="F85" s="27"/>
      <c r="G85" s="17">
        <f t="shared" si="25"/>
        <v>0</v>
      </c>
      <c r="H85" s="63"/>
      <c r="I85" s="63"/>
      <c r="J85" s="64">
        <f t="shared" si="26"/>
        <v>0</v>
      </c>
    </row>
    <row r="86" spans="2:10" ht="15.75" thickBot="1" x14ac:dyDescent="0.3">
      <c r="B86" s="9" t="s">
        <v>135</v>
      </c>
      <c r="C86" s="11"/>
      <c r="D86" s="11"/>
      <c r="E86" s="128"/>
      <c r="F86" s="27"/>
      <c r="G86" s="17">
        <f t="shared" si="25"/>
        <v>0</v>
      </c>
      <c r="H86" s="63"/>
      <c r="I86" s="63"/>
      <c r="J86" s="64">
        <f t="shared" si="26"/>
        <v>0</v>
      </c>
    </row>
    <row r="87" spans="2:10" ht="16.350000000000001" customHeight="1" thickBot="1" x14ac:dyDescent="0.3">
      <c r="B87" s="181" t="s">
        <v>43</v>
      </c>
      <c r="C87" s="139" t="s">
        <v>56</v>
      </c>
      <c r="D87" s="139"/>
      <c r="E87" s="139"/>
      <c r="F87" s="139"/>
      <c r="G87" s="40">
        <f>G62</f>
        <v>1400888</v>
      </c>
      <c r="H87" s="193">
        <f>SUM(G87:G90)</f>
        <v>990219</v>
      </c>
      <c r="I87" s="195" t="s">
        <v>141</v>
      </c>
      <c r="J87" s="195"/>
    </row>
    <row r="88" spans="2:10" ht="41.1" customHeight="1" thickBot="1" x14ac:dyDescent="0.3">
      <c r="B88" s="192"/>
      <c r="C88" s="139" t="s">
        <v>104</v>
      </c>
      <c r="D88" s="139"/>
      <c r="E88" s="139"/>
      <c r="F88" s="152"/>
      <c r="G88" s="40">
        <f>G66</f>
        <v>-435669</v>
      </c>
      <c r="H88" s="194"/>
      <c r="I88" s="196"/>
      <c r="J88" s="196"/>
    </row>
    <row r="89" spans="2:10" ht="16.350000000000001" customHeight="1" thickBot="1" x14ac:dyDescent="0.3">
      <c r="B89" s="192"/>
      <c r="C89" s="139" t="s">
        <v>55</v>
      </c>
      <c r="D89" s="139"/>
      <c r="E89" s="139"/>
      <c r="F89" s="152"/>
      <c r="G89" s="40">
        <f>G72</f>
        <v>25000</v>
      </c>
      <c r="H89" s="194"/>
      <c r="I89" s="197"/>
      <c r="J89" s="197"/>
    </row>
    <row r="90" spans="2:10" ht="20.25" customHeight="1" thickBot="1" x14ac:dyDescent="0.3">
      <c r="B90" s="169"/>
      <c r="C90" s="139" t="s">
        <v>60</v>
      </c>
      <c r="D90" s="139"/>
      <c r="E90" s="139"/>
      <c r="F90" s="139"/>
      <c r="G90" s="42">
        <f>G77</f>
        <v>0</v>
      </c>
      <c r="H90" s="194"/>
      <c r="I90" s="198">
        <f>G95</f>
        <v>-474765</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162</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85000</v>
      </c>
      <c r="E95" s="23">
        <f>F16+F17+F18+F19+F21+F28+F29+F37</f>
        <v>432780</v>
      </c>
      <c r="F95" s="19">
        <f>D95-E95</f>
        <v>-347780</v>
      </c>
      <c r="G95" s="140">
        <f>F95+F96+F99</f>
        <v>-474765</v>
      </c>
      <c r="H95" s="33"/>
      <c r="I95" s="33"/>
      <c r="J95" s="33"/>
    </row>
    <row r="96" spans="2:10" ht="16.350000000000001" customHeight="1" thickBot="1" x14ac:dyDescent="0.3">
      <c r="B96" s="22" t="s">
        <v>109</v>
      </c>
      <c r="C96" s="190" t="s">
        <v>9</v>
      </c>
      <c r="D96" s="68">
        <f>150000-85000</f>
        <v>65000</v>
      </c>
      <c r="E96" s="190">
        <f>F9+F10+F12+F14+F22+F23+F24+F25+F27+F31+F33+F34+F36+F38+F39+F41+F42+F43+F44+F55+F56+F58+F59+F60+F61+F67+F76+F69</f>
        <v>688485</v>
      </c>
      <c r="F96" s="190">
        <f>D96+D97+D98-E96</f>
        <v>-123485</v>
      </c>
      <c r="G96" s="141"/>
      <c r="H96" s="33"/>
      <c r="I96" s="33"/>
      <c r="J96" s="33"/>
    </row>
    <row r="97" spans="2:10" ht="15.75" thickBot="1" x14ac:dyDescent="0.3">
      <c r="B97" s="22" t="s">
        <v>126</v>
      </c>
      <c r="C97" s="191"/>
      <c r="D97" s="68">
        <v>210000</v>
      </c>
      <c r="E97" s="191"/>
      <c r="F97" s="191"/>
      <c r="G97" s="141"/>
      <c r="H97" s="33"/>
      <c r="I97" s="33"/>
      <c r="J97" s="33"/>
    </row>
    <row r="98" spans="2:10" ht="15.75" thickBot="1" x14ac:dyDescent="0.3">
      <c r="B98" s="22" t="s">
        <v>125</v>
      </c>
      <c r="C98" s="191"/>
      <c r="D98" s="68">
        <v>290000</v>
      </c>
      <c r="E98" s="191"/>
      <c r="F98" s="191"/>
      <c r="G98" s="141"/>
      <c r="H98" s="33"/>
      <c r="I98" s="33"/>
      <c r="J98" s="33"/>
    </row>
    <row r="99" spans="2:10" ht="15.75" thickBot="1" x14ac:dyDescent="0.3">
      <c r="B99" s="22" t="s">
        <v>110</v>
      </c>
      <c r="C99" s="190" t="s">
        <v>19</v>
      </c>
      <c r="D99" s="11">
        <v>1500</v>
      </c>
      <c r="E99" s="190">
        <f>F53+F54</f>
        <v>10000</v>
      </c>
      <c r="F99" s="190">
        <f>D99+D100-E99</f>
        <v>-3500</v>
      </c>
      <c r="G99" s="141"/>
      <c r="H99" s="33"/>
      <c r="I99" s="33"/>
      <c r="J99" s="33"/>
    </row>
    <row r="100" spans="2:10" ht="15.75" thickBot="1" x14ac:dyDescent="0.3">
      <c r="B100" s="22" t="s">
        <v>31</v>
      </c>
      <c r="C100" s="191"/>
      <c r="D100" s="11">
        <v>5000</v>
      </c>
      <c r="E100" s="191"/>
      <c r="F100" s="191"/>
      <c r="G100" s="141"/>
      <c r="H100" s="33"/>
      <c r="I100" s="33"/>
      <c r="J100" s="33"/>
    </row>
    <row r="101" spans="2:10" ht="15.75" thickBot="1" x14ac:dyDescent="0.3">
      <c r="B101" s="189" t="s">
        <v>63</v>
      </c>
      <c r="C101" s="189"/>
      <c r="D101" s="85">
        <f>SUM(D95:D100)</f>
        <v>656500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388509</v>
      </c>
      <c r="F103" s="133" t="s">
        <v>137</v>
      </c>
      <c r="G103" s="134"/>
      <c r="H103" s="134"/>
      <c r="I103" s="134"/>
      <c r="J103" s="134"/>
    </row>
    <row r="104" spans="2:10" ht="15.75" thickBot="1" x14ac:dyDescent="0.3">
      <c r="B104" s="148" t="s">
        <v>112</v>
      </c>
      <c r="C104" s="148"/>
      <c r="D104" s="148"/>
      <c r="E104" s="57">
        <f>G11</f>
        <v>12427</v>
      </c>
      <c r="F104" s="135"/>
      <c r="G104" s="136"/>
      <c r="H104" s="136"/>
      <c r="I104" s="136"/>
      <c r="J104" s="136"/>
    </row>
    <row r="105" spans="2:10" ht="15.75" thickBot="1" x14ac:dyDescent="0.3">
      <c r="B105" s="148" t="s">
        <v>113</v>
      </c>
      <c r="C105" s="148"/>
      <c r="D105" s="148"/>
      <c r="E105" s="57">
        <f>G15</f>
        <v>403043</v>
      </c>
      <c r="F105" s="135"/>
      <c r="G105" s="136"/>
      <c r="H105" s="136"/>
      <c r="I105" s="136"/>
      <c r="J105" s="136"/>
    </row>
    <row r="106" spans="2:10" ht="31.35" customHeight="1" thickBot="1" x14ac:dyDescent="0.3">
      <c r="B106" s="148" t="s">
        <v>114</v>
      </c>
      <c r="C106" s="148"/>
      <c r="D106" s="148"/>
      <c r="E106" s="57">
        <f>G20</f>
        <v>144785</v>
      </c>
      <c r="F106" s="135"/>
      <c r="G106" s="136"/>
      <c r="H106" s="136"/>
      <c r="I106" s="136"/>
      <c r="J106" s="136"/>
    </row>
    <row r="107" spans="2:10" ht="15.75" thickBot="1" x14ac:dyDescent="0.3">
      <c r="B107" s="148" t="s">
        <v>115</v>
      </c>
      <c r="C107" s="148"/>
      <c r="D107" s="148"/>
      <c r="E107" s="57">
        <f>G26</f>
        <v>21965</v>
      </c>
      <c r="F107" s="137"/>
      <c r="G107" s="138"/>
      <c r="H107" s="138"/>
      <c r="I107" s="138"/>
      <c r="J107" s="138"/>
    </row>
    <row r="108" spans="2:10" ht="15.75" thickBot="1" x14ac:dyDescent="0.3">
      <c r="B108" s="148" t="s">
        <v>116</v>
      </c>
      <c r="C108" s="148"/>
      <c r="D108" s="148"/>
      <c r="E108" s="57">
        <f>G30</f>
        <v>231924</v>
      </c>
      <c r="F108" s="132" t="s">
        <v>163</v>
      </c>
      <c r="G108" s="132"/>
      <c r="H108" s="132"/>
      <c r="I108" s="132"/>
      <c r="J108" s="132"/>
    </row>
    <row r="109" spans="2:10" ht="33" customHeight="1" thickBot="1" x14ac:dyDescent="0.3">
      <c r="B109" s="148" t="s">
        <v>117</v>
      </c>
      <c r="C109" s="148"/>
      <c r="D109" s="148"/>
      <c r="E109" s="57">
        <f>G35</f>
        <v>29555</v>
      </c>
      <c r="F109" s="151" t="s">
        <v>121</v>
      </c>
      <c r="G109" s="149"/>
      <c r="H109" s="149"/>
      <c r="I109" s="150">
        <f>E113</f>
        <v>1400888</v>
      </c>
      <c r="J109" s="150"/>
    </row>
    <row r="110" spans="2:10" ht="15.75" thickBot="1" x14ac:dyDescent="0.3">
      <c r="B110" s="148" t="s">
        <v>118</v>
      </c>
      <c r="C110" s="148"/>
      <c r="D110" s="148"/>
      <c r="E110" s="57">
        <f>G40</f>
        <v>147480</v>
      </c>
      <c r="F110" s="149" t="s">
        <v>122</v>
      </c>
      <c r="G110" s="149"/>
      <c r="H110" s="149"/>
      <c r="I110" s="150">
        <f>G66</f>
        <v>-435669</v>
      </c>
      <c r="J110" s="150"/>
    </row>
    <row r="111" spans="2:10" ht="26.45" customHeight="1" thickBot="1" x14ac:dyDescent="0.3">
      <c r="B111" s="148" t="s">
        <v>119</v>
      </c>
      <c r="C111" s="148"/>
      <c r="D111" s="148"/>
      <c r="E111" s="57">
        <f>G52</f>
        <v>11200</v>
      </c>
      <c r="F111" s="149" t="s">
        <v>123</v>
      </c>
      <c r="G111" s="149"/>
      <c r="H111" s="149"/>
      <c r="I111" s="150">
        <f>G72</f>
        <v>25000</v>
      </c>
      <c r="J111" s="150"/>
    </row>
    <row r="112" spans="2:10" ht="29.1" customHeight="1" thickBot="1" x14ac:dyDescent="0.3">
      <c r="B112" s="148" t="s">
        <v>120</v>
      </c>
      <c r="C112" s="148"/>
      <c r="D112" s="148"/>
      <c r="E112" s="57">
        <f>G57</f>
        <v>10000</v>
      </c>
      <c r="F112" s="149" t="s">
        <v>124</v>
      </c>
      <c r="G112" s="149"/>
      <c r="H112" s="149"/>
      <c r="I112" s="150">
        <f>G77</f>
        <v>0</v>
      </c>
      <c r="J112" s="150"/>
    </row>
    <row r="113" spans="2:10" ht="15.75" thickBot="1" x14ac:dyDescent="0.3">
      <c r="B113" s="142" t="s">
        <v>30</v>
      </c>
      <c r="C113" s="142"/>
      <c r="D113" s="142"/>
      <c r="E113" s="58">
        <f>SUM(E103:E112)</f>
        <v>1400888</v>
      </c>
      <c r="F113" s="143" t="s">
        <v>54</v>
      </c>
      <c r="G113" s="143"/>
      <c r="H113" s="143"/>
      <c r="I113" s="144">
        <f>SUM(I109:J112)</f>
        <v>990219</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B1:V960"/>
  <sheetViews>
    <sheetView topLeftCell="A73" zoomScaleNormal="100" zoomScaleSheetLayoutView="158" workbookViewId="0">
      <selection activeCell="C67" sqref="C67"/>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30.28515625" style="4" bestFit="1" customWidth="1"/>
    <col min="9" max="9" width="11.7109375" style="4" customWidth="1"/>
    <col min="10" max="10" width="12.140625" style="30" customWidth="1"/>
    <col min="11" max="11" width="1.7109375" style="1" customWidth="1"/>
    <col min="12" max="16384" width="10.7109375" style="1"/>
  </cols>
  <sheetData>
    <row r="1" spans="2:22" ht="8.1" customHeight="1" x14ac:dyDescent="0.25"/>
    <row r="2" spans="2:22" ht="14.1" customHeight="1" thickBot="1" x14ac:dyDescent="0.3">
      <c r="B2" s="188" t="s">
        <v>147</v>
      </c>
      <c r="C2" s="188"/>
      <c r="D2" s="188"/>
      <c r="E2" s="188"/>
      <c r="F2" s="188"/>
      <c r="G2" s="188"/>
      <c r="H2" s="188"/>
      <c r="I2" s="188"/>
      <c r="J2" s="188"/>
    </row>
    <row r="3" spans="2:22" ht="18.75" customHeight="1" thickBot="1" x14ac:dyDescent="0.3">
      <c r="B3" s="177" t="s">
        <v>196</v>
      </c>
      <c r="C3" s="177"/>
      <c r="D3" s="177"/>
      <c r="E3" s="177"/>
      <c r="F3" s="177"/>
      <c r="G3" s="177"/>
      <c r="H3" s="177"/>
      <c r="I3" s="177"/>
      <c r="J3" s="177"/>
    </row>
    <row r="4" spans="2:22" x14ac:dyDescent="0.25">
      <c r="B4" s="178" t="s">
        <v>153</v>
      </c>
      <c r="C4" s="181" t="s">
        <v>24</v>
      </c>
      <c r="D4" s="181"/>
      <c r="E4" s="181"/>
      <c r="F4" s="181"/>
      <c r="G4" s="181"/>
      <c r="H4" s="181"/>
      <c r="I4" s="181"/>
      <c r="J4" s="24"/>
    </row>
    <row r="5" spans="2:22" x14ac:dyDescent="0.25">
      <c r="B5" s="179"/>
      <c r="C5" s="182"/>
      <c r="D5" s="182"/>
      <c r="E5" s="182"/>
      <c r="F5" s="182"/>
      <c r="G5" s="182"/>
      <c r="H5" s="182"/>
      <c r="I5" s="183" t="s">
        <v>5</v>
      </c>
      <c r="J5" s="183"/>
      <c r="V5" s="1">
        <v>9856</v>
      </c>
    </row>
    <row r="6" spans="2:22" ht="15.75" thickBot="1" x14ac:dyDescent="0.3">
      <c r="B6" s="180"/>
      <c r="C6" s="169" t="s">
        <v>7</v>
      </c>
      <c r="D6" s="169"/>
      <c r="E6" s="169"/>
      <c r="F6" s="169"/>
      <c r="G6" s="170" t="s">
        <v>8</v>
      </c>
      <c r="H6" s="170"/>
      <c r="I6" s="170"/>
      <c r="J6" s="25"/>
    </row>
    <row r="7" spans="2:22" ht="45.75" thickBot="1" x14ac:dyDescent="0.3">
      <c r="B7" s="7" t="s">
        <v>2</v>
      </c>
      <c r="C7" s="34" t="s">
        <v>3</v>
      </c>
      <c r="D7" s="34" t="s">
        <v>21</v>
      </c>
      <c r="E7" s="35" t="s">
        <v>22</v>
      </c>
      <c r="F7" s="36" t="s">
        <v>29</v>
      </c>
      <c r="G7" s="18" t="s">
        <v>23</v>
      </c>
      <c r="H7" s="37" t="s">
        <v>4</v>
      </c>
      <c r="I7" s="37" t="s">
        <v>6</v>
      </c>
      <c r="J7" s="78" t="s">
        <v>134</v>
      </c>
    </row>
    <row r="8" spans="2:22" ht="26.25" thickBot="1" x14ac:dyDescent="0.3">
      <c r="B8" s="8" t="s">
        <v>11</v>
      </c>
      <c r="C8" s="10">
        <f>SUM(C9:C10)</f>
        <v>155885</v>
      </c>
      <c r="D8" s="10">
        <f>SUM(D9:D10)</f>
        <v>110903</v>
      </c>
      <c r="E8" s="14"/>
      <c r="F8" s="26">
        <f>G8-C8-D8</f>
        <v>138219</v>
      </c>
      <c r="G8" s="56">
        <f t="shared" ref="G8:G20" si="0">H8+I8</f>
        <v>405007</v>
      </c>
      <c r="H8" s="10">
        <f>SUM(H9:H10)</f>
        <v>395123</v>
      </c>
      <c r="I8" s="10">
        <f t="shared" ref="I8:J8" si="1">SUM(I9:I10)</f>
        <v>9884</v>
      </c>
      <c r="J8" s="79">
        <f t="shared" si="1"/>
        <v>0</v>
      </c>
    </row>
    <row r="9" spans="2:22" ht="36.75" thickBot="1" x14ac:dyDescent="0.3">
      <c r="B9" s="9" t="s">
        <v>66</v>
      </c>
      <c r="C9" s="68">
        <f>147463+1080</f>
        <v>148543</v>
      </c>
      <c r="D9" s="68">
        <f>2500+10000+800+487+20380-16320+371-1+73</f>
        <v>18290</v>
      </c>
      <c r="E9" s="15" t="s">
        <v>192</v>
      </c>
      <c r="F9" s="27">
        <f>G9-C9-D9</f>
        <v>174525</v>
      </c>
      <c r="G9" s="77">
        <f t="shared" si="0"/>
        <v>341358</v>
      </c>
      <c r="H9" s="68">
        <f>326972+2000+309+380+500+230+270+370+328+42+73</f>
        <v>331474</v>
      </c>
      <c r="I9" s="68">
        <v>9884</v>
      </c>
      <c r="J9" s="80"/>
      <c r="L9" s="108">
        <v>341358</v>
      </c>
    </row>
    <row r="10" spans="2:22" ht="27" customHeight="1" thickBot="1" x14ac:dyDescent="0.3">
      <c r="B10" s="9" t="s">
        <v>67</v>
      </c>
      <c r="C10" s="11">
        <v>7342</v>
      </c>
      <c r="D10" s="68">
        <f>314+5549+2500+19970+64280</f>
        <v>92613</v>
      </c>
      <c r="E10" s="15" t="s">
        <v>9</v>
      </c>
      <c r="F10" s="27">
        <f>G10-C10-D10</f>
        <v>-36306</v>
      </c>
      <c r="G10" s="17">
        <f t="shared" si="0"/>
        <v>63649</v>
      </c>
      <c r="H10" s="68">
        <f>51670+7036+1632+1018+43+18+311+1921</f>
        <v>63649</v>
      </c>
      <c r="I10" s="68"/>
      <c r="J10" s="80"/>
      <c r="L10" s="108"/>
    </row>
    <row r="11" spans="2:22" ht="26.25" thickBot="1" x14ac:dyDescent="0.3">
      <c r="B11" s="8" t="s">
        <v>12</v>
      </c>
      <c r="C11" s="10">
        <f>SUM(C12:C15)</f>
        <v>16635</v>
      </c>
      <c r="D11" s="10">
        <f>SUM(D12:D15)</f>
        <v>64704</v>
      </c>
      <c r="E11" s="14"/>
      <c r="F11" s="26">
        <f>G11-C11-D11</f>
        <v>72821</v>
      </c>
      <c r="G11" s="56">
        <f t="shared" si="0"/>
        <v>154160</v>
      </c>
      <c r="H11" s="10">
        <f>SUM(H12:H15)</f>
        <v>154160</v>
      </c>
      <c r="I11" s="10">
        <f t="shared" ref="I11:J11" si="2">SUM(I12:I15)</f>
        <v>0</v>
      </c>
      <c r="J11" s="79">
        <f t="shared" si="2"/>
        <v>0</v>
      </c>
      <c r="L11" s="108"/>
    </row>
    <row r="12" spans="2:22" ht="26.25" thickBot="1" x14ac:dyDescent="0.3">
      <c r="B12" s="9" t="s">
        <v>101</v>
      </c>
      <c r="C12" s="68">
        <v>16635</v>
      </c>
      <c r="D12" s="68">
        <v>42</v>
      </c>
      <c r="E12" s="15" t="s">
        <v>9</v>
      </c>
      <c r="F12" s="27">
        <f>G12-C12-D12-(D13-H13)</f>
        <v>31920</v>
      </c>
      <c r="G12" s="17">
        <f t="shared" si="0"/>
        <v>62657</v>
      </c>
      <c r="H12" s="11">
        <f>12427+27162+4662+3048+6000+75+235+225+221+351+400+45+12+20+6+81+22+227+61+6226+505+166+480</f>
        <v>62657</v>
      </c>
      <c r="I12" s="11"/>
      <c r="J12" s="80"/>
      <c r="L12" s="108"/>
    </row>
    <row r="13" spans="2:22" ht="36.75" customHeight="1" thickBot="1" x14ac:dyDescent="0.3">
      <c r="B13" s="9" t="s">
        <v>102</v>
      </c>
      <c r="C13" s="11"/>
      <c r="D13" s="68">
        <f>12087-6186+2993+19190+6080</f>
        <v>34164</v>
      </c>
      <c r="E13" s="186" t="s">
        <v>138</v>
      </c>
      <c r="F13" s="187"/>
      <c r="G13" s="17">
        <f t="shared" si="0"/>
        <v>20104</v>
      </c>
      <c r="H13" s="68">
        <f>6186+10994-3156+6080</f>
        <v>20104</v>
      </c>
      <c r="I13" s="11"/>
      <c r="J13" s="80"/>
      <c r="L13" s="108"/>
    </row>
    <row r="14" spans="2:22" ht="15.75" thickBot="1" x14ac:dyDescent="0.3">
      <c r="B14" s="9" t="s">
        <v>68</v>
      </c>
      <c r="C14" s="101"/>
      <c r="D14" s="101"/>
      <c r="E14" s="100" t="s">
        <v>9</v>
      </c>
      <c r="F14" s="27">
        <f>G14-C14-D14</f>
        <v>40901</v>
      </c>
      <c r="G14" s="17">
        <f t="shared" ref="G14" si="3">H14+I14</f>
        <v>40901</v>
      </c>
      <c r="H14" s="99">
        <f>43802-2901</f>
        <v>40901</v>
      </c>
      <c r="I14" s="101"/>
      <c r="J14" s="80"/>
      <c r="L14" s="108"/>
    </row>
    <row r="15" spans="2:22" ht="15.75" thickBot="1" x14ac:dyDescent="0.3">
      <c r="B15" s="9" t="s">
        <v>193</v>
      </c>
      <c r="C15" s="11"/>
      <c r="D15" s="11">
        <v>30498</v>
      </c>
      <c r="E15" s="15" t="s">
        <v>9</v>
      </c>
      <c r="F15" s="27">
        <f>G15-C15-D15</f>
        <v>0</v>
      </c>
      <c r="G15" s="17">
        <f t="shared" si="0"/>
        <v>30498</v>
      </c>
      <c r="H15" s="101">
        <v>30498</v>
      </c>
      <c r="I15" s="11"/>
      <c r="J15" s="80"/>
      <c r="L15" s="108"/>
    </row>
    <row r="16" spans="2:22" ht="26.25" thickBot="1" x14ac:dyDescent="0.3">
      <c r="B16" s="8" t="s">
        <v>13</v>
      </c>
      <c r="C16" s="10">
        <f>SUM(C17:C20)</f>
        <v>468944</v>
      </c>
      <c r="D16" s="10">
        <f>SUM(D17:D20)</f>
        <v>51804</v>
      </c>
      <c r="E16" s="14"/>
      <c r="F16" s="26">
        <f>G16-C16-D16</f>
        <v>41013</v>
      </c>
      <c r="G16" s="56">
        <f t="shared" si="0"/>
        <v>561761</v>
      </c>
      <c r="H16" s="10">
        <f>SUM(H17:H20)</f>
        <v>550898</v>
      </c>
      <c r="I16" s="10">
        <f>SUM(I17:I20)</f>
        <v>10863</v>
      </c>
      <c r="J16" s="79">
        <f>SUM(J17:J20)</f>
        <v>49927</v>
      </c>
      <c r="L16" s="108"/>
    </row>
    <row r="17" spans="2:12" ht="15.75" thickBot="1" x14ac:dyDescent="0.3">
      <c r="B17" s="9" t="s">
        <v>69</v>
      </c>
      <c r="C17" s="68">
        <f>221205+7821+9723+41835+73752</f>
        <v>354336</v>
      </c>
      <c r="D17" s="11"/>
      <c r="E17" s="15" t="s">
        <v>10</v>
      </c>
      <c r="F17" s="27">
        <f>G17-C17-D17</f>
        <v>1730</v>
      </c>
      <c r="G17" s="17">
        <f t="shared" si="0"/>
        <v>356066</v>
      </c>
      <c r="H17" s="68">
        <f>338669+6534</f>
        <v>345203</v>
      </c>
      <c r="I17" s="68">
        <v>10863</v>
      </c>
      <c r="J17" s="80"/>
      <c r="L17" s="108">
        <v>418176</v>
      </c>
    </row>
    <row r="18" spans="2:12" ht="32.1" customHeight="1" thickBot="1" x14ac:dyDescent="0.3">
      <c r="B18" s="9" t="s">
        <v>189</v>
      </c>
      <c r="C18" s="68">
        <v>38960</v>
      </c>
      <c r="D18" s="68">
        <f>11085</f>
        <v>11085</v>
      </c>
      <c r="E18" s="15" t="s">
        <v>10</v>
      </c>
      <c r="F18" s="27">
        <f>G18-C18-D18</f>
        <v>12065</v>
      </c>
      <c r="G18" s="17">
        <f t="shared" si="0"/>
        <v>62110</v>
      </c>
      <c r="H18" s="68">
        <f>62110</f>
        <v>62110</v>
      </c>
      <c r="I18" s="68"/>
      <c r="J18" s="80"/>
      <c r="L18" s="108"/>
    </row>
    <row r="19" spans="2:12" ht="26.25" thickBot="1" x14ac:dyDescent="0.3">
      <c r="B19" s="9" t="s">
        <v>71</v>
      </c>
      <c r="C19" s="68">
        <v>75648</v>
      </c>
      <c r="D19" s="68">
        <f>35056+5663</f>
        <v>40719</v>
      </c>
      <c r="E19" s="15" t="s">
        <v>10</v>
      </c>
      <c r="F19" s="69">
        <f t="shared" ref="F19:F20" si="4">G19-C19-D19</f>
        <v>27218</v>
      </c>
      <c r="G19" s="17">
        <f t="shared" si="0"/>
        <v>143585</v>
      </c>
      <c r="H19" s="68">
        <f>87439+23609+23026+6218+3293</f>
        <v>143585</v>
      </c>
      <c r="I19" s="68"/>
      <c r="J19" s="80"/>
    </row>
    <row r="20" spans="2:12" ht="39" thickBot="1" x14ac:dyDescent="0.3">
      <c r="B20" s="9" t="s">
        <v>130</v>
      </c>
      <c r="C20" s="11"/>
      <c r="D20" s="11"/>
      <c r="E20" s="15" t="s">
        <v>10</v>
      </c>
      <c r="F20" s="27">
        <f t="shared" si="4"/>
        <v>0</v>
      </c>
      <c r="G20" s="17">
        <f t="shared" si="0"/>
        <v>0</v>
      </c>
      <c r="H20" s="68"/>
      <c r="I20" s="68"/>
      <c r="J20" s="102">
        <f>41329+8598</f>
        <v>49927</v>
      </c>
    </row>
    <row r="21" spans="2:12" ht="36.6" customHeight="1" thickBot="1" x14ac:dyDescent="0.3">
      <c r="B21" s="8" t="s">
        <v>38</v>
      </c>
      <c r="C21" s="10">
        <f>SUM(C22:C26)</f>
        <v>12549</v>
      </c>
      <c r="D21" s="10">
        <f>SUM(D22:D26)</f>
        <v>0</v>
      </c>
      <c r="E21" s="14"/>
      <c r="F21" s="26">
        <f>G21-C21-D21</f>
        <v>129015</v>
      </c>
      <c r="G21" s="56">
        <f>H21+I21</f>
        <v>141564</v>
      </c>
      <c r="H21" s="10">
        <f>SUM(H22:H26)</f>
        <v>0</v>
      </c>
      <c r="I21" s="10">
        <f>SUM(I22:I26)</f>
        <v>141564</v>
      </c>
      <c r="J21" s="79">
        <f>SUM(J22:J26)</f>
        <v>35518</v>
      </c>
    </row>
    <row r="22" spans="2:12" ht="15.75" thickBot="1" x14ac:dyDescent="0.3">
      <c r="B22" s="41" t="s">
        <v>72</v>
      </c>
      <c r="C22" s="68">
        <v>2302</v>
      </c>
      <c r="D22" s="11"/>
      <c r="E22" s="15" t="s">
        <v>10</v>
      </c>
      <c r="F22" s="27">
        <f>G22-C22-D22</f>
        <v>2819</v>
      </c>
      <c r="G22" s="17">
        <f>H22+I22</f>
        <v>5121</v>
      </c>
      <c r="H22" s="68"/>
      <c r="I22" s="68">
        <v>5121</v>
      </c>
      <c r="J22" s="102">
        <v>3160</v>
      </c>
    </row>
    <row r="23" spans="2:12" ht="26.25" thickBot="1" x14ac:dyDescent="0.3">
      <c r="B23" s="41" t="s">
        <v>73</v>
      </c>
      <c r="C23" s="68">
        <f>9477+770</f>
        <v>10247</v>
      </c>
      <c r="D23" s="11"/>
      <c r="E23" s="15" t="s">
        <v>10</v>
      </c>
      <c r="F23" s="27">
        <f>G23-C23-D23</f>
        <v>23540</v>
      </c>
      <c r="G23" s="17">
        <f>H23+I23</f>
        <v>33787</v>
      </c>
      <c r="H23" s="68"/>
      <c r="I23" s="68">
        <v>33787</v>
      </c>
      <c r="J23" s="102">
        <v>4678</v>
      </c>
    </row>
    <row r="24" spans="2:12" ht="15.75" thickBot="1" x14ac:dyDescent="0.3">
      <c r="B24" s="41" t="s">
        <v>74</v>
      </c>
      <c r="C24" s="11"/>
      <c r="D24" s="11"/>
      <c r="E24" s="15" t="s">
        <v>9</v>
      </c>
      <c r="F24" s="27">
        <f>G24-C24-D24</f>
        <v>6953</v>
      </c>
      <c r="G24" s="17">
        <f>H24+I24</f>
        <v>6953</v>
      </c>
      <c r="H24" s="68"/>
      <c r="I24" s="68">
        <v>6953</v>
      </c>
      <c r="J24" s="102"/>
    </row>
    <row r="25" spans="2:12" ht="39" thickBot="1" x14ac:dyDescent="0.3">
      <c r="B25" s="41" t="s">
        <v>127</v>
      </c>
      <c r="C25" s="11"/>
      <c r="D25" s="11"/>
      <c r="E25" s="15" t="s">
        <v>9</v>
      </c>
      <c r="F25" s="27">
        <f t="shared" ref="F25:F26" si="5">G25-C25-D25</f>
        <v>89254</v>
      </c>
      <c r="G25" s="17">
        <f>H25+I25</f>
        <v>89254</v>
      </c>
      <c r="H25" s="68"/>
      <c r="I25" s="68">
        <f>21597+7721+4098+12386+6648-375+11742+19045+5354+2530-1492</f>
        <v>89254</v>
      </c>
      <c r="J25" s="103">
        <f>440+4107+9380+6609</f>
        <v>20536</v>
      </c>
    </row>
    <row r="26" spans="2:12" ht="26.25" thickBot="1" x14ac:dyDescent="0.3">
      <c r="B26" s="41" t="s">
        <v>75</v>
      </c>
      <c r="C26" s="11"/>
      <c r="D26" s="11"/>
      <c r="E26" s="15" t="s">
        <v>9</v>
      </c>
      <c r="F26" s="27">
        <f t="shared" si="5"/>
        <v>6449</v>
      </c>
      <c r="G26" s="17">
        <f t="shared" ref="G26" si="6">H26+I26</f>
        <v>6449</v>
      </c>
      <c r="H26" s="11"/>
      <c r="I26" s="11">
        <f>1237+5212</f>
        <v>6449</v>
      </c>
      <c r="J26" s="102">
        <f>4510+2634</f>
        <v>7144</v>
      </c>
    </row>
    <row r="27" spans="2:12" ht="15.75" thickBot="1" x14ac:dyDescent="0.3">
      <c r="B27" s="8" t="s">
        <v>14</v>
      </c>
      <c r="C27" s="10">
        <f>SUM(C28:C30)</f>
        <v>25525</v>
      </c>
      <c r="D27" s="10">
        <f>SUM(D28:D30)</f>
        <v>0</v>
      </c>
      <c r="E27" s="14"/>
      <c r="F27" s="26">
        <f>G27-C27-D27</f>
        <v>19622</v>
      </c>
      <c r="G27" s="56">
        <f>H27+I27</f>
        <v>45147</v>
      </c>
      <c r="H27" s="10">
        <f>SUM(H28:H30)</f>
        <v>23781</v>
      </c>
      <c r="I27" s="10">
        <f t="shared" ref="I27:J27" si="7">SUM(I28:I30)</f>
        <v>21366</v>
      </c>
      <c r="J27" s="104">
        <f t="shared" si="7"/>
        <v>621</v>
      </c>
    </row>
    <row r="28" spans="2:12" ht="24.75" thickBot="1" x14ac:dyDescent="0.3">
      <c r="B28" s="9" t="s">
        <v>76</v>
      </c>
      <c r="C28" s="11"/>
      <c r="D28" s="11"/>
      <c r="E28" s="15" t="s">
        <v>41</v>
      </c>
      <c r="F28" s="27">
        <f>G28-C28-D28</f>
        <v>12728</v>
      </c>
      <c r="G28" s="17">
        <f>H28+I28</f>
        <v>12728</v>
      </c>
      <c r="H28" s="61"/>
      <c r="I28" s="68">
        <v>12728</v>
      </c>
      <c r="J28" s="102">
        <v>621</v>
      </c>
    </row>
    <row r="29" spans="2:12" ht="39" thickBot="1" x14ac:dyDescent="0.3">
      <c r="B29" s="9" t="s">
        <v>190</v>
      </c>
      <c r="C29" s="68">
        <v>5951</v>
      </c>
      <c r="D29" s="11"/>
      <c r="E29" s="15" t="s">
        <v>10</v>
      </c>
      <c r="F29" s="27">
        <f>G29-C29-D29</f>
        <v>2687</v>
      </c>
      <c r="G29" s="17">
        <f>H29+I29</f>
        <v>8638</v>
      </c>
      <c r="H29" s="61"/>
      <c r="I29" s="68">
        <v>8638</v>
      </c>
      <c r="J29" s="80"/>
    </row>
    <row r="30" spans="2:12" ht="15.75" thickBot="1" x14ac:dyDescent="0.3">
      <c r="B30" s="9" t="s">
        <v>78</v>
      </c>
      <c r="C30" s="68">
        <f>11524+8050</f>
        <v>19574</v>
      </c>
      <c r="D30" s="11"/>
      <c r="E30" s="15" t="s">
        <v>10</v>
      </c>
      <c r="F30" s="69">
        <f t="shared" ref="F30" si="8">G30-C30-D30</f>
        <v>4207</v>
      </c>
      <c r="G30" s="17">
        <f t="shared" ref="G30" si="9">H30+I30</f>
        <v>23781</v>
      </c>
      <c r="H30" s="68">
        <f>23781</f>
        <v>23781</v>
      </c>
      <c r="I30" s="68"/>
      <c r="J30" s="80"/>
    </row>
    <row r="31" spans="2:12" ht="34.35" customHeight="1" thickBot="1" x14ac:dyDescent="0.3">
      <c r="B31" s="8" t="s">
        <v>15</v>
      </c>
      <c r="C31" s="10">
        <f>SUM(C32:C33)</f>
        <v>243599</v>
      </c>
      <c r="D31" s="10">
        <f>SUM(D32:D33)</f>
        <v>0</v>
      </c>
      <c r="E31" s="14"/>
      <c r="F31" s="26">
        <f t="shared" ref="F31:F36" si="10">G31-C31-D31</f>
        <v>30240</v>
      </c>
      <c r="G31" s="56">
        <f t="shared" ref="G31:G36" si="11">H31+I31</f>
        <v>273839</v>
      </c>
      <c r="H31" s="10">
        <f>SUM(H32:H33)</f>
        <v>273839</v>
      </c>
      <c r="I31" s="10">
        <f>SUM(I32:I33)</f>
        <v>0</v>
      </c>
      <c r="J31" s="79">
        <f>SUM(J32:J33)</f>
        <v>0</v>
      </c>
    </row>
    <row r="32" spans="2:12" ht="51.75" thickBot="1" x14ac:dyDescent="0.3">
      <c r="B32" s="9" t="s">
        <v>191</v>
      </c>
      <c r="C32" s="68">
        <v>31</v>
      </c>
      <c r="D32" s="11"/>
      <c r="E32" s="15" t="s">
        <v>10</v>
      </c>
      <c r="F32" s="27">
        <f t="shared" si="10"/>
        <v>6500</v>
      </c>
      <c r="G32" s="17">
        <f t="shared" si="11"/>
        <v>6531</v>
      </c>
      <c r="H32" s="68">
        <v>6531</v>
      </c>
      <c r="I32" s="11"/>
      <c r="J32" s="80"/>
    </row>
    <row r="33" spans="2:10" ht="48" customHeight="1" thickBot="1" x14ac:dyDescent="0.3">
      <c r="B33" s="9" t="s">
        <v>183</v>
      </c>
      <c r="C33" s="68">
        <f>228642+9352+2534+3040</f>
        <v>243568</v>
      </c>
      <c r="D33" s="11"/>
      <c r="E33" s="15" t="s">
        <v>9</v>
      </c>
      <c r="F33" s="27">
        <f t="shared" si="10"/>
        <v>23740</v>
      </c>
      <c r="G33" s="17">
        <f t="shared" si="11"/>
        <v>267308</v>
      </c>
      <c r="H33" s="68">
        <f>228642+24928-1188+9352+2534+3040</f>
        <v>267308</v>
      </c>
      <c r="I33" s="11"/>
      <c r="J33" s="90"/>
    </row>
    <row r="34" spans="2:10" ht="26.25" thickBot="1" x14ac:dyDescent="0.3">
      <c r="B34" s="8" t="s">
        <v>16</v>
      </c>
      <c r="C34" s="10">
        <f>SUM(C35:C38)</f>
        <v>0</v>
      </c>
      <c r="D34" s="10">
        <f>SUM(D35:D38)</f>
        <v>18091</v>
      </c>
      <c r="E34" s="14"/>
      <c r="F34" s="26">
        <f t="shared" si="10"/>
        <v>13822</v>
      </c>
      <c r="G34" s="56">
        <f t="shared" si="11"/>
        <v>31913</v>
      </c>
      <c r="H34" s="10">
        <f>SUM(H35:H38)</f>
        <v>21783</v>
      </c>
      <c r="I34" s="10">
        <f t="shared" ref="I34:J34" si="12">SUM(I35:I38)</f>
        <v>10130</v>
      </c>
      <c r="J34" s="79">
        <f t="shared" si="12"/>
        <v>5868</v>
      </c>
    </row>
    <row r="35" spans="2:10" ht="15.75" thickBot="1" x14ac:dyDescent="0.3">
      <c r="B35" s="9" t="s">
        <v>81</v>
      </c>
      <c r="C35" s="68"/>
      <c r="D35" s="11">
        <f>10438+541</f>
        <v>10979</v>
      </c>
      <c r="E35" s="67" t="s">
        <v>10</v>
      </c>
      <c r="F35" s="27">
        <f t="shared" si="10"/>
        <v>0</v>
      </c>
      <c r="G35" s="17">
        <f t="shared" si="11"/>
        <v>10979</v>
      </c>
      <c r="H35" s="68">
        <f>7980+1051+878+311+759</f>
        <v>10979</v>
      </c>
      <c r="I35" s="68"/>
      <c r="J35" s="80"/>
    </row>
    <row r="36" spans="2:10" ht="26.25" thickBot="1" x14ac:dyDescent="0.3">
      <c r="B36" s="9" t="s">
        <v>82</v>
      </c>
      <c r="C36" s="11"/>
      <c r="D36" s="11">
        <f>5600+1512</f>
        <v>7112</v>
      </c>
      <c r="E36" s="67" t="s">
        <v>10</v>
      </c>
      <c r="F36" s="27">
        <f t="shared" si="10"/>
        <v>10130</v>
      </c>
      <c r="G36" s="17">
        <f t="shared" si="11"/>
        <v>17242</v>
      </c>
      <c r="H36" s="68">
        <f>7112</f>
        <v>7112</v>
      </c>
      <c r="I36" s="68">
        <f>10129+1</f>
        <v>10130</v>
      </c>
      <c r="J36" s="102">
        <v>5868</v>
      </c>
    </row>
    <row r="37" spans="2:10" ht="15.75" thickBot="1" x14ac:dyDescent="0.3">
      <c r="B37" s="9" t="s">
        <v>83</v>
      </c>
      <c r="C37" s="11"/>
      <c r="D37" s="11"/>
      <c r="E37" s="67" t="s">
        <v>10</v>
      </c>
      <c r="F37" s="27">
        <f t="shared" ref="F37:F38" si="13">G37-C37-D37</f>
        <v>2504</v>
      </c>
      <c r="G37" s="17">
        <f t="shared" ref="G37:G38" si="14">H37+I37</f>
        <v>2504</v>
      </c>
      <c r="H37" s="68">
        <f>2272+232</f>
        <v>2504</v>
      </c>
      <c r="I37" s="68"/>
      <c r="J37" s="81"/>
    </row>
    <row r="38" spans="2:10" ht="15.75" thickBot="1" x14ac:dyDescent="0.3">
      <c r="B38" s="9" t="s">
        <v>182</v>
      </c>
      <c r="C38" s="11"/>
      <c r="D38" s="11"/>
      <c r="E38" s="67" t="s">
        <v>10</v>
      </c>
      <c r="F38" s="27">
        <f t="shared" si="13"/>
        <v>1188</v>
      </c>
      <c r="G38" s="17">
        <f t="shared" si="14"/>
        <v>1188</v>
      </c>
      <c r="H38" s="68">
        <v>1188</v>
      </c>
      <c r="I38" s="68"/>
      <c r="J38" s="81"/>
    </row>
    <row r="39" spans="2:10" ht="15.75" thickBot="1" x14ac:dyDescent="0.3">
      <c r="B39" s="9" t="s">
        <v>194</v>
      </c>
      <c r="C39" s="107"/>
      <c r="D39" s="107"/>
      <c r="E39" s="67" t="s">
        <v>10</v>
      </c>
      <c r="F39" s="27"/>
      <c r="G39" s="17"/>
      <c r="H39" s="106"/>
      <c r="I39" s="106"/>
      <c r="J39" s="81"/>
    </row>
    <row r="40" spans="2:10" ht="15.75" thickBot="1" x14ac:dyDescent="0.3">
      <c r="B40" s="8" t="s">
        <v>17</v>
      </c>
      <c r="C40" s="10">
        <f>SUM(C41:C44)</f>
        <v>13147</v>
      </c>
      <c r="D40" s="10">
        <f>SUM(D41:D44)</f>
        <v>0</v>
      </c>
      <c r="E40" s="14"/>
      <c r="F40" s="26">
        <f>G40-C40-D40</f>
        <v>148778</v>
      </c>
      <c r="G40" s="56">
        <f>H40+I40</f>
        <v>161925</v>
      </c>
      <c r="H40" s="10">
        <f>SUM(H41:H44)</f>
        <v>1315</v>
      </c>
      <c r="I40" s="10">
        <f>SUM(I41:I44)</f>
        <v>160610</v>
      </c>
      <c r="J40" s="104">
        <f>SUM(J41:J44)</f>
        <v>7320</v>
      </c>
    </row>
    <row r="41" spans="2:10" ht="39" thickBot="1" x14ac:dyDescent="0.3">
      <c r="B41" s="9" t="s">
        <v>129</v>
      </c>
      <c r="C41" s="155">
        <v>13147</v>
      </c>
      <c r="D41" s="11"/>
      <c r="E41" s="15" t="s">
        <v>9</v>
      </c>
      <c r="F41" s="27">
        <f>G41-C41-D41</f>
        <v>89804</v>
      </c>
      <c r="G41" s="17">
        <f>H41+I41</f>
        <v>102951</v>
      </c>
      <c r="H41" s="68"/>
      <c r="I41" s="68">
        <f>102018-14200+6300+8833</f>
        <v>102951</v>
      </c>
      <c r="J41" s="102">
        <v>4524</v>
      </c>
    </row>
    <row r="42" spans="2:10" ht="15.75" thickBot="1" x14ac:dyDescent="0.3">
      <c r="B42" s="9" t="s">
        <v>85</v>
      </c>
      <c r="C42" s="157"/>
      <c r="D42" s="11"/>
      <c r="E42" s="15" t="s">
        <v>9</v>
      </c>
      <c r="F42" s="27">
        <f>G42-C42-D42</f>
        <v>14200</v>
      </c>
      <c r="G42" s="17">
        <f>H42+I42</f>
        <v>14200</v>
      </c>
      <c r="H42" s="68"/>
      <c r="I42" s="68">
        <v>14200</v>
      </c>
      <c r="J42" s="102"/>
    </row>
    <row r="43" spans="2:10" ht="26.25" thickBot="1" x14ac:dyDescent="0.3">
      <c r="B43" s="9" t="s">
        <v>86</v>
      </c>
      <c r="C43" s="157"/>
      <c r="D43" s="11"/>
      <c r="E43" s="15" t="s">
        <v>9</v>
      </c>
      <c r="F43" s="27">
        <f t="shared" ref="F43:F44" si="15">G43-C43-D43</f>
        <v>22092</v>
      </c>
      <c r="G43" s="17">
        <f t="shared" ref="G43:G44" si="16">H43+I43</f>
        <v>22092</v>
      </c>
      <c r="H43" s="68">
        <v>1315</v>
      </c>
      <c r="I43" s="68">
        <v>20777</v>
      </c>
      <c r="J43" s="102">
        <v>396</v>
      </c>
    </row>
    <row r="44" spans="2:10" ht="15.75" thickBot="1" x14ac:dyDescent="0.3">
      <c r="B44" s="53" t="s">
        <v>87</v>
      </c>
      <c r="C44" s="156"/>
      <c r="D44" s="47"/>
      <c r="E44" s="15" t="s">
        <v>9</v>
      </c>
      <c r="F44" s="54">
        <f t="shared" si="15"/>
        <v>22682</v>
      </c>
      <c r="G44" s="55">
        <f t="shared" si="16"/>
        <v>22682</v>
      </c>
      <c r="H44" s="88"/>
      <c r="I44" s="88">
        <v>22682</v>
      </c>
      <c r="J44" s="105">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196</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c r="F52" s="26">
        <f>G52-C52-D52</f>
        <v>25072</v>
      </c>
      <c r="G52" s="56">
        <f>H52+I52</f>
        <v>25072</v>
      </c>
      <c r="H52" s="10">
        <f>SUM(H53:H56)</f>
        <v>25072</v>
      </c>
      <c r="I52" s="10">
        <f>SUM(I53:I56)</f>
        <v>0</v>
      </c>
      <c r="J52" s="79">
        <f>SUM(J53:J56)</f>
        <v>0</v>
      </c>
    </row>
    <row r="53" spans="2:10" ht="26.25" thickBot="1" x14ac:dyDescent="0.3">
      <c r="B53" s="9" t="s">
        <v>88</v>
      </c>
      <c r="C53" s="11"/>
      <c r="D53" s="11"/>
      <c r="E53" s="15" t="s">
        <v>186</v>
      </c>
      <c r="F53" s="27">
        <f>G53-C53-D53</f>
        <v>15072</v>
      </c>
      <c r="G53" s="17">
        <f>H53+I53</f>
        <v>15072</v>
      </c>
      <c r="H53" s="68">
        <f>12000+2160+912</f>
        <v>15072</v>
      </c>
      <c r="I53" s="11"/>
      <c r="J53" s="80"/>
    </row>
    <row r="54" spans="2:10" ht="21" customHeight="1" thickBot="1" x14ac:dyDescent="0.3">
      <c r="B54" s="9" t="s">
        <v>89</v>
      </c>
      <c r="C54" s="11"/>
      <c r="D54" s="11"/>
      <c r="E54" s="15" t="s">
        <v>186</v>
      </c>
      <c r="F54" s="27">
        <f t="shared" ref="F54" si="17">G54-C54-D54</f>
        <v>3000</v>
      </c>
      <c r="G54" s="17">
        <f t="shared" ref="G54" si="18">H54+I54</f>
        <v>3000</v>
      </c>
      <c r="H54" s="68">
        <v>3000</v>
      </c>
      <c r="I54" s="11"/>
      <c r="J54" s="80"/>
    </row>
    <row r="55" spans="2:10" ht="26.25" thickBot="1" x14ac:dyDescent="0.3">
      <c r="B55" s="9" t="s">
        <v>188</v>
      </c>
      <c r="C55" s="11"/>
      <c r="D55" s="11"/>
      <c r="E55" s="15" t="s">
        <v>9</v>
      </c>
      <c r="F55" s="27">
        <f>G55-C55-D55</f>
        <v>5000</v>
      </c>
      <c r="G55" s="17">
        <f>H55+I55</f>
        <v>5000</v>
      </c>
      <c r="H55" s="68">
        <v>5000</v>
      </c>
      <c r="I55" s="11"/>
      <c r="J55" s="80"/>
    </row>
    <row r="56" spans="2:10" ht="26.25" thickBot="1" x14ac:dyDescent="0.3">
      <c r="B56" s="9" t="s">
        <v>187</v>
      </c>
      <c r="C56" s="11"/>
      <c r="D56" s="11"/>
      <c r="E56" s="15" t="s">
        <v>9</v>
      </c>
      <c r="F56" s="27">
        <f t="shared" ref="F56" si="19">G56-C56-D56</f>
        <v>2000</v>
      </c>
      <c r="G56" s="17">
        <f t="shared" ref="G56" si="20">H56+I56</f>
        <v>2000</v>
      </c>
      <c r="H56" s="68">
        <v>2000</v>
      </c>
      <c r="I56" s="11"/>
      <c r="J56" s="80"/>
    </row>
    <row r="57" spans="2:10" ht="26.25" thickBot="1" x14ac:dyDescent="0.3">
      <c r="B57" s="8" t="s">
        <v>140</v>
      </c>
      <c r="C57" s="10">
        <f>SUM(C58:C61)</f>
        <v>0</v>
      </c>
      <c r="D57" s="10">
        <f>SUM(D58:D61)</f>
        <v>0</v>
      </c>
      <c r="E57" s="14"/>
      <c r="F57" s="26">
        <f>G57-C57-D57</f>
        <v>12000</v>
      </c>
      <c r="G57" s="56">
        <f>H57+I57</f>
        <v>12000</v>
      </c>
      <c r="H57" s="89">
        <f>SUM(H58:H61)</f>
        <v>12000</v>
      </c>
      <c r="I57" s="10">
        <f t="shared" ref="I57:J57" si="21">SUM(I58:I61)</f>
        <v>0</v>
      </c>
      <c r="J57" s="79">
        <f t="shared" si="21"/>
        <v>153752</v>
      </c>
    </row>
    <row r="58" spans="2:10" ht="26.25" thickBot="1" x14ac:dyDescent="0.3">
      <c r="B58" s="9" t="s">
        <v>139</v>
      </c>
      <c r="C58" s="11"/>
      <c r="D58" s="11"/>
      <c r="E58" s="15" t="s">
        <v>9</v>
      </c>
      <c r="F58" s="27">
        <f>G58-C58-D58</f>
        <v>0</v>
      </c>
      <c r="G58" s="17">
        <f>H58+I58</f>
        <v>0</v>
      </c>
      <c r="H58" s="11">
        <v>0</v>
      </c>
      <c r="I58" s="11"/>
      <c r="J58" s="102">
        <f>55300+5892</f>
        <v>61192</v>
      </c>
    </row>
    <row r="59" spans="2:10" ht="15.75" thickBot="1" x14ac:dyDescent="0.3">
      <c r="B59" s="9" t="s">
        <v>92</v>
      </c>
      <c r="C59" s="11"/>
      <c r="D59" s="11"/>
      <c r="E59" s="15" t="s">
        <v>9</v>
      </c>
      <c r="F59" s="27">
        <f>G59-C59-D59</f>
        <v>0</v>
      </c>
      <c r="G59" s="17">
        <f>H59+I59</f>
        <v>0</v>
      </c>
      <c r="H59" s="11">
        <v>0</v>
      </c>
      <c r="I59" s="11"/>
      <c r="J59" s="102">
        <f>2290+18520</f>
        <v>20810</v>
      </c>
    </row>
    <row r="60" spans="2:10" ht="26.25" thickBot="1" x14ac:dyDescent="0.3">
      <c r="B60" s="9" t="s">
        <v>93</v>
      </c>
      <c r="C60" s="11"/>
      <c r="D60" s="11"/>
      <c r="E60" s="15" t="s">
        <v>9</v>
      </c>
      <c r="F60" s="27">
        <f t="shared" ref="F60:F62" si="22">G60-C60-D60</f>
        <v>0</v>
      </c>
      <c r="G60" s="17">
        <f t="shared" ref="G60:G61" si="23">H60+I60</f>
        <v>0</v>
      </c>
      <c r="H60" s="11">
        <v>0</v>
      </c>
      <c r="I60" s="11"/>
      <c r="J60" s="102">
        <v>71750</v>
      </c>
    </row>
    <row r="61" spans="2:10" ht="26.25" thickBot="1" x14ac:dyDescent="0.3">
      <c r="B61" s="9" t="s">
        <v>94</v>
      </c>
      <c r="C61" s="11"/>
      <c r="D61" s="11"/>
      <c r="E61" s="15" t="s">
        <v>9</v>
      </c>
      <c r="F61" s="27">
        <f>G61-C61-D61</f>
        <v>12000</v>
      </c>
      <c r="G61" s="17">
        <f t="shared" si="23"/>
        <v>12000</v>
      </c>
      <c r="H61" s="68">
        <v>12000</v>
      </c>
      <c r="I61" s="11"/>
      <c r="J61" s="98"/>
    </row>
    <row r="62" spans="2:10" ht="29.1" customHeight="1" thickBot="1" x14ac:dyDescent="0.3">
      <c r="B62" s="60" t="s">
        <v>30</v>
      </c>
      <c r="C62" s="21">
        <f>C57+C52+C40+C34+C31+C27+C21+C16+C11+C8</f>
        <v>936284</v>
      </c>
      <c r="D62" s="21">
        <f>D57+D52+D40+D34+D31+D27+D21+D16+D11+D8</f>
        <v>245502</v>
      </c>
      <c r="E62" s="43"/>
      <c r="F62" s="31">
        <f t="shared" si="22"/>
        <v>630602</v>
      </c>
      <c r="G62" s="44">
        <f>G57+G52+G40+G34+G31+G27+G21+G16+G11+G8</f>
        <v>1812388</v>
      </c>
      <c r="H62" s="21">
        <f>H57+H52+H40+H34+H31+H27+H21+H16+H11+H8</f>
        <v>1457971</v>
      </c>
      <c r="I62" s="45">
        <f>I57+I52+I40+I34+I31+I27+I21+I16+I11+I8</f>
        <v>354417</v>
      </c>
      <c r="J62" s="46">
        <f>J57+J52+J40+J34+J31+J27+J21+J16+J11+J8</f>
        <v>253006</v>
      </c>
    </row>
    <row r="63" spans="2:10" ht="26.1" customHeight="1" thickBot="1" x14ac:dyDescent="0.3">
      <c r="B63" s="142" t="s">
        <v>136</v>
      </c>
      <c r="C63" s="142"/>
      <c r="D63" s="142"/>
      <c r="E63" s="142"/>
      <c r="F63" s="166"/>
      <c r="G63" s="74">
        <f>G62-C62-D62-F62</f>
        <v>0</v>
      </c>
      <c r="H63" s="167"/>
      <c r="I63" s="168"/>
      <c r="J63" s="168"/>
    </row>
    <row r="64" spans="2:10" ht="26.25" customHeight="1" thickBot="1" x14ac:dyDescent="0.3">
      <c r="B64" s="20" t="s">
        <v>34</v>
      </c>
      <c r="C64" s="184" t="s">
        <v>1</v>
      </c>
      <c r="D64" s="184"/>
      <c r="E64" s="184"/>
      <c r="F64" s="185"/>
      <c r="G64" s="147" t="s">
        <v>45</v>
      </c>
      <c r="H64" s="147"/>
      <c r="I64" s="147"/>
      <c r="J64" s="147"/>
    </row>
    <row r="65" spans="2:12" ht="36" customHeight="1" thickBot="1" x14ac:dyDescent="0.3">
      <c r="B65" s="7" t="s">
        <v>2</v>
      </c>
      <c r="C65" s="76" t="s">
        <v>105</v>
      </c>
      <c r="D65" s="34" t="s">
        <v>0</v>
      </c>
      <c r="E65" s="35" t="s">
        <v>48</v>
      </c>
      <c r="F65" s="36" t="s">
        <v>49</v>
      </c>
      <c r="G65" s="18" t="s">
        <v>59</v>
      </c>
      <c r="H65" s="160" t="s">
        <v>46</v>
      </c>
      <c r="I65" s="161"/>
      <c r="J65" s="161"/>
    </row>
    <row r="66" spans="2:12" ht="15.75" thickBot="1" x14ac:dyDescent="0.3">
      <c r="B66" s="8" t="s">
        <v>42</v>
      </c>
      <c r="C66" s="10">
        <f>SUM(C67:C70)</f>
        <v>731737</v>
      </c>
      <c r="D66" s="10">
        <f>SUM(D67:D70)</f>
        <v>33941</v>
      </c>
      <c r="E66" s="14"/>
      <c r="F66" s="10">
        <f>SUM(F67:F70)</f>
        <v>65898</v>
      </c>
      <c r="G66" s="86">
        <f>SUM(G67:G70)</f>
        <v>378075</v>
      </c>
      <c r="H66" s="162"/>
      <c r="I66" s="163"/>
      <c r="J66" s="163"/>
    </row>
    <row r="67" spans="2:12" ht="44.45" customHeight="1" thickBot="1" x14ac:dyDescent="0.3">
      <c r="B67" s="9" t="s">
        <v>95</v>
      </c>
      <c r="C67" s="11">
        <f>78+8643</f>
        <v>8721</v>
      </c>
      <c r="D67" s="11"/>
      <c r="E67" s="66" t="s">
        <v>50</v>
      </c>
      <c r="F67" s="27">
        <f>10000-505-2160-912-311-166-480-1921</f>
        <v>3545</v>
      </c>
      <c r="G67" s="77">
        <f>C67+D67+F67</f>
        <v>12266</v>
      </c>
      <c r="H67" s="162"/>
      <c r="I67" s="163"/>
      <c r="J67" s="163"/>
      <c r="L67" s="108">
        <v>12266</v>
      </c>
    </row>
    <row r="68" spans="2:12" ht="45.75" thickBot="1" x14ac:dyDescent="0.3">
      <c r="B68" s="9" t="s">
        <v>96</v>
      </c>
      <c r="C68" s="11">
        <v>74458</v>
      </c>
      <c r="D68" s="68">
        <f>590+22321+160+6026+4844</f>
        <v>33941</v>
      </c>
      <c r="E68" s="66" t="s">
        <v>47</v>
      </c>
      <c r="F68" s="27"/>
      <c r="G68" s="77">
        <f>C68+D68+F68-F75</f>
        <v>102021</v>
      </c>
      <c r="H68" s="162"/>
      <c r="I68" s="163"/>
      <c r="J68" s="163"/>
      <c r="L68" s="108">
        <v>102021</v>
      </c>
    </row>
    <row r="69" spans="2:12" ht="45.75" thickBot="1" x14ac:dyDescent="0.3">
      <c r="B69" s="9" t="s">
        <v>97</v>
      </c>
      <c r="C69" s="11">
        <f>15377+7000+10000</f>
        <v>32377</v>
      </c>
      <c r="D69" s="11"/>
      <c r="E69" s="66" t="s">
        <v>150</v>
      </c>
      <c r="F69" s="27"/>
      <c r="G69" s="77">
        <f>C69+D69+F69</f>
        <v>32377</v>
      </c>
      <c r="H69" s="164"/>
      <c r="I69" s="165"/>
      <c r="J69" s="165"/>
      <c r="L69" s="108">
        <v>32377</v>
      </c>
    </row>
    <row r="70" spans="2:12" ht="44.1" customHeight="1" thickBot="1" x14ac:dyDescent="0.3">
      <c r="B70" s="9" t="s">
        <v>107</v>
      </c>
      <c r="C70" s="97">
        <f>195000+4300+38250+8076+350+6000+75+2159+235+225+221+351+400+45+2985+870+1632+1018+40000+9856+211637+20704+1350+54039+9601+5773+1030-1</f>
        <v>616181</v>
      </c>
      <c r="D70" s="68"/>
      <c r="E70" s="66" t="s">
        <v>148</v>
      </c>
      <c r="F70" s="83">
        <f>G95</f>
        <v>62353</v>
      </c>
      <c r="G70" s="77">
        <f>C70+D70+F70-F73-F74-F78-F79-F80-F81-F82-F83-F84-F85-F86</f>
        <v>231411</v>
      </c>
      <c r="H70" s="173" t="s">
        <v>149</v>
      </c>
      <c r="I70" s="174"/>
      <c r="J70" s="174"/>
      <c r="L70" s="108">
        <v>231411</v>
      </c>
    </row>
    <row r="71" spans="2:12" ht="34.35" customHeight="1" thickBot="1" x14ac:dyDescent="0.3">
      <c r="B71" s="70" t="s">
        <v>2</v>
      </c>
      <c r="C71" s="71" t="s">
        <v>3</v>
      </c>
      <c r="D71" s="71" t="s">
        <v>21</v>
      </c>
      <c r="E71" s="72" t="s">
        <v>22</v>
      </c>
      <c r="F71" s="73" t="s">
        <v>29</v>
      </c>
      <c r="G71" s="18" t="s">
        <v>23</v>
      </c>
      <c r="H71" s="175"/>
      <c r="I71" s="176"/>
      <c r="J71" s="176"/>
    </row>
    <row r="72" spans="2:12" ht="26.25" thickBot="1" x14ac:dyDescent="0.3">
      <c r="B72" s="8" t="s">
        <v>44</v>
      </c>
      <c r="C72" s="10">
        <f>+C76</f>
        <v>22500</v>
      </c>
      <c r="D72" s="10">
        <v>0</v>
      </c>
      <c r="E72" s="14"/>
      <c r="F72" s="26">
        <f>SUM(F73:F76)</f>
        <v>362830</v>
      </c>
      <c r="G72" s="56">
        <f>SUM(C72+D72+F72)</f>
        <v>385330</v>
      </c>
      <c r="H72" s="158" t="s">
        <v>131</v>
      </c>
      <c r="I72" s="159"/>
      <c r="J72" s="159"/>
    </row>
    <row r="73" spans="2:12" ht="27" customHeight="1" thickBot="1" x14ac:dyDescent="0.3">
      <c r="B73" s="9" t="s">
        <v>98</v>
      </c>
      <c r="C73" s="11"/>
      <c r="D73" s="11"/>
      <c r="E73" s="66" t="s">
        <v>51</v>
      </c>
      <c r="F73" s="69">
        <f>195000+4300+38250+8076+350+2159+2985+870+40000+180+147+114+2000+357+100+80+200+934+65+100+12+160+122+80+150+600+7895+49405+959+90+64+160+80+11+143+254</f>
        <v>356452</v>
      </c>
      <c r="G73" s="17">
        <f t="shared" ref="G73:G75" si="24">SUM(C73+D73+F73)</f>
        <v>356452</v>
      </c>
      <c r="H73" s="129" t="s">
        <v>53</v>
      </c>
      <c r="I73" s="129" t="s">
        <v>64</v>
      </c>
      <c r="J73" s="129" t="s">
        <v>132</v>
      </c>
    </row>
    <row r="74" spans="2:12" ht="26.25" thickBot="1" x14ac:dyDescent="0.3">
      <c r="B74" s="9" t="s">
        <v>106</v>
      </c>
      <c r="C74" s="11"/>
      <c r="D74" s="11"/>
      <c r="E74" s="66" t="s">
        <v>51</v>
      </c>
      <c r="F74" s="69"/>
      <c r="G74" s="77">
        <f t="shared" si="24"/>
        <v>0</v>
      </c>
      <c r="H74" s="130"/>
      <c r="I74" s="130"/>
      <c r="J74" s="130"/>
    </row>
    <row r="75" spans="2:12" ht="26.25" thickBot="1" x14ac:dyDescent="0.3">
      <c r="B75" s="9" t="s">
        <v>99</v>
      </c>
      <c r="C75" s="11"/>
      <c r="D75" s="11"/>
      <c r="E75" s="66" t="s">
        <v>152</v>
      </c>
      <c r="F75" s="69">
        <f>1354+2097+2927</f>
        <v>6378</v>
      </c>
      <c r="G75" s="77">
        <f t="shared" si="24"/>
        <v>6378</v>
      </c>
      <c r="H75" s="130"/>
      <c r="I75" s="130"/>
      <c r="J75" s="130"/>
    </row>
    <row r="76" spans="2:12" ht="26.25" thickBot="1" x14ac:dyDescent="0.3">
      <c r="B76" s="9" t="s">
        <v>100</v>
      </c>
      <c r="C76" s="11">
        <v>22500</v>
      </c>
      <c r="D76" s="61"/>
      <c r="E76" s="66" t="s">
        <v>9</v>
      </c>
      <c r="F76" s="69">
        <v>0</v>
      </c>
      <c r="G76" s="77">
        <f>SUM(C76+D76+F76)</f>
        <v>22500</v>
      </c>
      <c r="H76" s="131"/>
      <c r="I76" s="131"/>
      <c r="J76" s="131"/>
    </row>
    <row r="77" spans="2:12" ht="26.25" thickBot="1" x14ac:dyDescent="0.3">
      <c r="B77" s="8" t="s">
        <v>57</v>
      </c>
      <c r="C77" s="10">
        <f>SUM(C79:C86)</f>
        <v>3398087</v>
      </c>
      <c r="D77" s="10">
        <f>SUM(D79:D86)</f>
        <v>68845</v>
      </c>
      <c r="E77" s="14"/>
      <c r="F77" s="10">
        <f>SUM(F78:F86)</f>
        <v>90671</v>
      </c>
      <c r="G77" s="56">
        <f>SUM(C77+D77+F77)</f>
        <v>3557603</v>
      </c>
      <c r="H77" s="62">
        <f>SUM(H79:H86)</f>
        <v>534963</v>
      </c>
      <c r="I77" s="65">
        <f>SUM(I79:I86)</f>
        <v>986196</v>
      </c>
      <c r="J77" s="65">
        <f>SUM(J79:J86)</f>
        <v>5078762</v>
      </c>
    </row>
    <row r="78" spans="2:12" ht="46.35" customHeight="1" thickBot="1" x14ac:dyDescent="0.3">
      <c r="B78" s="9" t="s">
        <v>52</v>
      </c>
      <c r="C78" s="11"/>
      <c r="D78" s="11"/>
      <c r="E78" s="126" t="s">
        <v>151</v>
      </c>
      <c r="F78" s="27"/>
      <c r="G78" s="17">
        <f t="shared" ref="G78:G86" si="25">C78+D78+F78</f>
        <v>0</v>
      </c>
      <c r="H78" s="63"/>
      <c r="I78" s="63"/>
      <c r="J78" s="64">
        <f>SUM(G78:I78)</f>
        <v>0</v>
      </c>
    </row>
    <row r="79" spans="2:12" ht="15" customHeight="1" thickBot="1" x14ac:dyDescent="0.3">
      <c r="B79" s="9" t="s">
        <v>157</v>
      </c>
      <c r="C79" s="11"/>
      <c r="D79" s="11"/>
      <c r="E79" s="127"/>
      <c r="F79" s="27"/>
      <c r="G79" s="17">
        <f t="shared" si="25"/>
        <v>0</v>
      </c>
      <c r="H79" s="63"/>
      <c r="I79" s="63"/>
      <c r="J79" s="64">
        <f>SUM(G79:I79)</f>
        <v>0</v>
      </c>
    </row>
    <row r="80" spans="2:12" ht="15.75" thickBot="1" x14ac:dyDescent="0.3">
      <c r="B80" s="9" t="s">
        <v>184</v>
      </c>
      <c r="C80" s="68"/>
      <c r="D80" s="11">
        <v>64990</v>
      </c>
      <c r="E80" s="127"/>
      <c r="F80" s="27"/>
      <c r="G80" s="77">
        <f t="shared" si="25"/>
        <v>64990</v>
      </c>
      <c r="H80" s="63"/>
      <c r="I80" s="63">
        <v>13672</v>
      </c>
      <c r="J80" s="64">
        <f t="shared" ref="J80:J86" si="26">SUM(G80:I80)</f>
        <v>78662</v>
      </c>
    </row>
    <row r="81" spans="2:14" ht="15.75" thickBot="1" x14ac:dyDescent="0.3">
      <c r="B81" s="9" t="s">
        <v>25</v>
      </c>
      <c r="C81" s="68">
        <f>90066+90752</f>
        <v>180818</v>
      </c>
      <c r="D81" s="11">
        <f>3855</f>
        <v>3855</v>
      </c>
      <c r="E81" s="127"/>
      <c r="F81" s="27">
        <f>54039+204+770+35023</f>
        <v>90036</v>
      </c>
      <c r="G81" s="77">
        <f t="shared" si="25"/>
        <v>274709</v>
      </c>
      <c r="H81" s="63">
        <f>587654-90066-90036-90752</f>
        <v>316800</v>
      </c>
      <c r="I81" s="63">
        <f>35961+10220+202110</f>
        <v>248291</v>
      </c>
      <c r="J81" s="64">
        <f t="shared" si="26"/>
        <v>839800</v>
      </c>
    </row>
    <row r="82" spans="2:14" ht="15.75" thickBot="1" x14ac:dyDescent="0.3">
      <c r="B82" s="9" t="s">
        <v>62</v>
      </c>
      <c r="C82" s="11"/>
      <c r="D82" s="11"/>
      <c r="E82" s="127"/>
      <c r="F82" s="27"/>
      <c r="G82" s="77">
        <f t="shared" si="25"/>
        <v>0</v>
      </c>
      <c r="H82" s="63"/>
      <c r="I82" s="63"/>
      <c r="J82" s="64">
        <f t="shared" si="26"/>
        <v>0</v>
      </c>
    </row>
    <row r="83" spans="2:14" ht="15.75" thickBot="1" x14ac:dyDescent="0.3">
      <c r="B83" s="9" t="s">
        <v>156</v>
      </c>
      <c r="C83" s="11"/>
      <c r="D83" s="11"/>
      <c r="E83" s="127"/>
      <c r="F83" s="27"/>
      <c r="G83" s="77">
        <f t="shared" si="25"/>
        <v>0</v>
      </c>
      <c r="H83" s="63"/>
      <c r="I83" s="63"/>
      <c r="J83" s="64">
        <f t="shared" si="26"/>
        <v>0</v>
      </c>
    </row>
    <row r="84" spans="2:14" ht="15.75" thickBot="1" x14ac:dyDescent="0.3">
      <c r="B84" s="9" t="s">
        <v>195</v>
      </c>
      <c r="C84" s="11"/>
      <c r="D84" s="11"/>
      <c r="E84" s="127"/>
      <c r="F84" s="27">
        <v>635</v>
      </c>
      <c r="G84" s="77">
        <f t="shared" si="25"/>
        <v>635</v>
      </c>
      <c r="H84" s="63"/>
      <c r="I84" s="63"/>
      <c r="J84" s="64">
        <f t="shared" si="26"/>
        <v>635</v>
      </c>
    </row>
    <row r="85" spans="2:14" ht="15.75" thickBot="1" x14ac:dyDescent="0.3">
      <c r="B85" s="9" t="s">
        <v>27</v>
      </c>
      <c r="C85" s="11">
        <f>834535+535307+206476+873834+337050+430067</f>
        <v>3217269</v>
      </c>
      <c r="D85" s="11"/>
      <c r="E85" s="127"/>
      <c r="F85" s="27"/>
      <c r="G85" s="17">
        <f t="shared" si="25"/>
        <v>3217269</v>
      </c>
      <c r="H85" s="63">
        <f>2600895-873834-337050-430067-206476-535305</f>
        <v>218163</v>
      </c>
      <c r="I85" s="63">
        <f>174830+549403</f>
        <v>724233</v>
      </c>
      <c r="J85" s="64">
        <f t="shared" si="26"/>
        <v>4159665</v>
      </c>
    </row>
    <row r="86" spans="2:14" ht="15.75" thickBot="1" x14ac:dyDescent="0.3">
      <c r="B86" s="9" t="s">
        <v>135</v>
      </c>
      <c r="C86" s="11"/>
      <c r="D86" s="11"/>
      <c r="E86" s="128"/>
      <c r="F86" s="27"/>
      <c r="G86" s="17">
        <f t="shared" si="25"/>
        <v>0</v>
      </c>
      <c r="H86" s="63"/>
      <c r="I86" s="63"/>
      <c r="J86" s="64">
        <f t="shared" si="26"/>
        <v>0</v>
      </c>
    </row>
    <row r="87" spans="2:14" ht="16.350000000000001" customHeight="1" thickBot="1" x14ac:dyDescent="0.3">
      <c r="B87" s="181" t="s">
        <v>43</v>
      </c>
      <c r="C87" s="139" t="s">
        <v>56</v>
      </c>
      <c r="D87" s="139"/>
      <c r="E87" s="139"/>
      <c r="F87" s="139"/>
      <c r="G87" s="40">
        <f>G62</f>
        <v>1812388</v>
      </c>
      <c r="H87" s="193">
        <f>SUM(G87:G90)</f>
        <v>6133396</v>
      </c>
      <c r="I87" s="195" t="s">
        <v>141</v>
      </c>
      <c r="J87" s="195"/>
    </row>
    <row r="88" spans="2:14" ht="41.1" customHeight="1" thickBot="1" x14ac:dyDescent="0.3">
      <c r="B88" s="192"/>
      <c r="C88" s="139" t="s">
        <v>104</v>
      </c>
      <c r="D88" s="139"/>
      <c r="E88" s="139"/>
      <c r="F88" s="152"/>
      <c r="G88" s="40">
        <f>G66</f>
        <v>378075</v>
      </c>
      <c r="H88" s="194"/>
      <c r="I88" s="196"/>
      <c r="J88" s="196"/>
      <c r="M88" s="95"/>
      <c r="N88" s="95"/>
    </row>
    <row r="89" spans="2:14" ht="29.25" customHeight="1" thickBot="1" x14ac:dyDescent="0.3">
      <c r="B89" s="192"/>
      <c r="C89" s="139" t="s">
        <v>55</v>
      </c>
      <c r="D89" s="139"/>
      <c r="E89" s="139"/>
      <c r="F89" s="152"/>
      <c r="G89" s="40">
        <f>G72</f>
        <v>385330</v>
      </c>
      <c r="H89" s="194"/>
      <c r="I89" s="197"/>
      <c r="J89" s="197"/>
      <c r="L89" s="108">
        <v>6133396</v>
      </c>
    </row>
    <row r="90" spans="2:14" ht="20.25" customHeight="1" thickBot="1" x14ac:dyDescent="0.3">
      <c r="B90" s="169"/>
      <c r="C90" s="139" t="s">
        <v>60</v>
      </c>
      <c r="D90" s="139"/>
      <c r="E90" s="139"/>
      <c r="F90" s="139"/>
      <c r="G90" s="42">
        <f>G77</f>
        <v>3557603</v>
      </c>
      <c r="H90" s="194"/>
      <c r="I90" s="198">
        <f>G95</f>
        <v>62353</v>
      </c>
      <c r="J90" s="198"/>
      <c r="M90" s="95"/>
    </row>
    <row r="91" spans="2:14" ht="10.35" customHeight="1" x14ac:dyDescent="0.25">
      <c r="B91" s="5"/>
      <c r="C91" s="13"/>
      <c r="D91" s="13"/>
      <c r="E91" s="13"/>
      <c r="F91" s="28"/>
      <c r="G91" s="16"/>
      <c r="H91" s="13"/>
      <c r="I91" s="13"/>
      <c r="J91" s="28"/>
    </row>
    <row r="92" spans="2:14" ht="9" customHeight="1" thickBot="1" x14ac:dyDescent="0.3">
      <c r="B92" s="5"/>
      <c r="C92" s="13"/>
      <c r="D92" s="13"/>
      <c r="E92" s="13"/>
      <c r="F92" s="28"/>
      <c r="G92" s="16"/>
      <c r="H92" s="13"/>
      <c r="I92" s="13"/>
      <c r="J92" s="28"/>
    </row>
    <row r="93" spans="2:14" ht="25.35" customHeight="1" thickBot="1" x14ac:dyDescent="0.3">
      <c r="B93" s="177" t="s">
        <v>196</v>
      </c>
      <c r="C93" s="177"/>
      <c r="D93" s="177"/>
      <c r="E93" s="177"/>
      <c r="F93" s="177"/>
      <c r="G93" s="177"/>
      <c r="H93" s="177"/>
      <c r="I93" s="177"/>
      <c r="J93" s="177"/>
    </row>
    <row r="94" spans="2:14" ht="45.75" thickBot="1" x14ac:dyDescent="0.3">
      <c r="B94" s="7" t="s">
        <v>32</v>
      </c>
      <c r="C94" s="38" t="s">
        <v>20</v>
      </c>
      <c r="D94" s="37" t="s">
        <v>58</v>
      </c>
      <c r="E94" s="37" t="s">
        <v>39</v>
      </c>
      <c r="F94" s="39" t="s">
        <v>37</v>
      </c>
      <c r="G94" s="39" t="s">
        <v>103</v>
      </c>
      <c r="H94" s="32"/>
      <c r="I94" s="32"/>
      <c r="J94" s="32"/>
      <c r="M94" s="96"/>
    </row>
    <row r="95" spans="2:14" ht="48.75" thickBot="1" x14ac:dyDescent="0.3">
      <c r="B95" s="59" t="s">
        <v>108</v>
      </c>
      <c r="C95" s="12" t="s">
        <v>10</v>
      </c>
      <c r="D95" s="75">
        <v>85000</v>
      </c>
      <c r="E95" s="23">
        <f>F17+F18+F19+F20+F22+F23+F29+F30+F32+F35+F36+F37+F38</f>
        <v>94588</v>
      </c>
      <c r="F95" s="19">
        <f>D95-E95</f>
        <v>-9588</v>
      </c>
      <c r="G95" s="140">
        <f>F95+F96+F99</f>
        <v>62353</v>
      </c>
      <c r="H95" s="33"/>
      <c r="I95" s="33"/>
      <c r="J95" s="33"/>
    </row>
    <row r="96" spans="2:14" ht="27.75" customHeight="1" thickBot="1" x14ac:dyDescent="0.3">
      <c r="B96" s="22" t="s">
        <v>109</v>
      </c>
      <c r="C96" s="190" t="s">
        <v>9</v>
      </c>
      <c r="D96" s="68">
        <f>150000-85000</f>
        <v>65000</v>
      </c>
      <c r="E96" s="190">
        <f>F9+F10+F12+F14+F15+F24+F25+F26+F28+F33+F41+F42+F43+F44+F53+F54+F55+F56+F58+F59+F60+F61+F67+F76+F69</f>
        <v>539559</v>
      </c>
      <c r="F96" s="190">
        <f>D96+D97+D98+D99+D100-E96</f>
        <v>71941</v>
      </c>
      <c r="G96" s="141"/>
      <c r="H96" s="33"/>
      <c r="I96" s="33"/>
      <c r="J96" s="33"/>
    </row>
    <row r="97" spans="2:10" ht="15.75" thickBot="1" x14ac:dyDescent="0.3">
      <c r="B97" s="22" t="s">
        <v>126</v>
      </c>
      <c r="C97" s="191"/>
      <c r="D97" s="68">
        <v>210000</v>
      </c>
      <c r="E97" s="206"/>
      <c r="F97" s="206"/>
      <c r="G97" s="141"/>
      <c r="H97" s="33"/>
      <c r="I97" s="33"/>
      <c r="J97" s="33"/>
    </row>
    <row r="98" spans="2:10" ht="15.75" thickBot="1" x14ac:dyDescent="0.3">
      <c r="B98" s="22" t="s">
        <v>125</v>
      </c>
      <c r="C98" s="191"/>
      <c r="D98" s="68">
        <v>330000</v>
      </c>
      <c r="E98" s="206"/>
      <c r="F98" s="206"/>
      <c r="G98" s="141"/>
      <c r="H98" s="33"/>
      <c r="I98" s="33"/>
      <c r="J98" s="33"/>
    </row>
    <row r="99" spans="2:10" ht="15.75" thickBot="1" x14ac:dyDescent="0.3">
      <c r="B99" s="22" t="s">
        <v>110</v>
      </c>
      <c r="C99" s="190" t="s">
        <v>19</v>
      </c>
      <c r="D99" s="11">
        <v>1500</v>
      </c>
      <c r="E99" s="206"/>
      <c r="F99" s="206"/>
      <c r="G99" s="141"/>
      <c r="H99" s="33"/>
      <c r="I99" s="33"/>
      <c r="J99" s="33"/>
    </row>
    <row r="100" spans="2:10" ht="15.75" thickBot="1" x14ac:dyDescent="0.3">
      <c r="B100" s="22" t="s">
        <v>31</v>
      </c>
      <c r="C100" s="191"/>
      <c r="D100" s="11">
        <v>5000</v>
      </c>
      <c r="E100" s="205"/>
      <c r="F100" s="205"/>
      <c r="G100" s="141"/>
      <c r="H100" s="33"/>
      <c r="I100" s="33"/>
      <c r="J100" s="33"/>
    </row>
    <row r="101" spans="2:10" ht="30.6" customHeight="1" thickBot="1" x14ac:dyDescent="0.3">
      <c r="B101" s="189" t="s">
        <v>63</v>
      </c>
      <c r="C101" s="189"/>
      <c r="D101" s="85">
        <f>SUM(D95:D100)</f>
        <v>696500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405007</v>
      </c>
      <c r="F103" s="133" t="s">
        <v>137</v>
      </c>
      <c r="G103" s="134"/>
      <c r="H103" s="134"/>
      <c r="I103" s="134"/>
      <c r="J103" s="134"/>
    </row>
    <row r="104" spans="2:10" ht="15.75" thickBot="1" x14ac:dyDescent="0.3">
      <c r="B104" s="148" t="s">
        <v>112</v>
      </c>
      <c r="C104" s="148"/>
      <c r="D104" s="148"/>
      <c r="E104" s="57">
        <f>G11</f>
        <v>154160</v>
      </c>
      <c r="F104" s="135"/>
      <c r="G104" s="136"/>
      <c r="H104" s="136"/>
      <c r="I104" s="136"/>
      <c r="J104" s="136"/>
    </row>
    <row r="105" spans="2:10" ht="15.75" thickBot="1" x14ac:dyDescent="0.3">
      <c r="B105" s="148" t="s">
        <v>113</v>
      </c>
      <c r="C105" s="148"/>
      <c r="D105" s="148"/>
      <c r="E105" s="57">
        <f>G16</f>
        <v>561761</v>
      </c>
      <c r="F105" s="135"/>
      <c r="G105" s="136"/>
      <c r="H105" s="136"/>
      <c r="I105" s="136"/>
      <c r="J105" s="136"/>
    </row>
    <row r="106" spans="2:10" ht="31.35" customHeight="1" thickBot="1" x14ac:dyDescent="0.3">
      <c r="B106" s="148" t="s">
        <v>114</v>
      </c>
      <c r="C106" s="148"/>
      <c r="D106" s="148"/>
      <c r="E106" s="57">
        <f>G21</f>
        <v>141564</v>
      </c>
      <c r="F106" s="135"/>
      <c r="G106" s="136"/>
      <c r="H106" s="136"/>
      <c r="I106" s="136"/>
      <c r="J106" s="136"/>
    </row>
    <row r="107" spans="2:10" ht="15.75" thickBot="1" x14ac:dyDescent="0.3">
      <c r="B107" s="148" t="s">
        <v>115</v>
      </c>
      <c r="C107" s="148"/>
      <c r="D107" s="148"/>
      <c r="E107" s="57">
        <f>G27</f>
        <v>45147</v>
      </c>
      <c r="F107" s="137"/>
      <c r="G107" s="138"/>
      <c r="H107" s="138"/>
      <c r="I107" s="138"/>
      <c r="J107" s="138"/>
    </row>
    <row r="108" spans="2:10" ht="15.75" thickBot="1" x14ac:dyDescent="0.3">
      <c r="B108" s="148" t="s">
        <v>116</v>
      </c>
      <c r="C108" s="148"/>
      <c r="D108" s="148"/>
      <c r="E108" s="57">
        <f>G31</f>
        <v>273839</v>
      </c>
      <c r="F108" s="132" t="s">
        <v>185</v>
      </c>
      <c r="G108" s="132"/>
      <c r="H108" s="132"/>
      <c r="I108" s="132"/>
      <c r="J108" s="132"/>
    </row>
    <row r="109" spans="2:10" ht="33" customHeight="1" thickBot="1" x14ac:dyDescent="0.3">
      <c r="B109" s="148" t="s">
        <v>117</v>
      </c>
      <c r="C109" s="148"/>
      <c r="D109" s="148"/>
      <c r="E109" s="57">
        <f>G34</f>
        <v>31913</v>
      </c>
      <c r="F109" s="151" t="s">
        <v>121</v>
      </c>
      <c r="G109" s="149"/>
      <c r="H109" s="149"/>
      <c r="I109" s="150">
        <f>E113</f>
        <v>1812388</v>
      </c>
      <c r="J109" s="150"/>
    </row>
    <row r="110" spans="2:10" ht="15.75" thickBot="1" x14ac:dyDescent="0.3">
      <c r="B110" s="148" t="s">
        <v>118</v>
      </c>
      <c r="C110" s="148"/>
      <c r="D110" s="148"/>
      <c r="E110" s="57">
        <f>G40</f>
        <v>161925</v>
      </c>
      <c r="F110" s="149" t="s">
        <v>122</v>
      </c>
      <c r="G110" s="149"/>
      <c r="H110" s="149"/>
      <c r="I110" s="150">
        <f>G66</f>
        <v>378075</v>
      </c>
      <c r="J110" s="150"/>
    </row>
    <row r="111" spans="2:10" ht="26.45" customHeight="1" thickBot="1" x14ac:dyDescent="0.3">
      <c r="B111" s="148" t="s">
        <v>119</v>
      </c>
      <c r="C111" s="148"/>
      <c r="D111" s="148"/>
      <c r="E111" s="57">
        <f>G52</f>
        <v>25072</v>
      </c>
      <c r="F111" s="149" t="s">
        <v>123</v>
      </c>
      <c r="G111" s="149"/>
      <c r="H111" s="149"/>
      <c r="I111" s="150">
        <f>G72</f>
        <v>385330</v>
      </c>
      <c r="J111" s="150"/>
    </row>
    <row r="112" spans="2:10" ht="29.1" customHeight="1" thickBot="1" x14ac:dyDescent="0.3">
      <c r="B112" s="148" t="s">
        <v>120</v>
      </c>
      <c r="C112" s="148"/>
      <c r="D112" s="148"/>
      <c r="E112" s="57">
        <f>G57</f>
        <v>12000</v>
      </c>
      <c r="F112" s="149" t="s">
        <v>124</v>
      </c>
      <c r="G112" s="149"/>
      <c r="H112" s="149"/>
      <c r="I112" s="150">
        <f>G77</f>
        <v>3557603</v>
      </c>
      <c r="J112" s="150"/>
    </row>
    <row r="113" spans="2:10" ht="15.75" thickBot="1" x14ac:dyDescent="0.3">
      <c r="B113" s="142" t="s">
        <v>30</v>
      </c>
      <c r="C113" s="142"/>
      <c r="D113" s="142"/>
      <c r="E113" s="58">
        <f>SUM(E103:E112)</f>
        <v>1812388</v>
      </c>
      <c r="F113" s="143" t="s">
        <v>54</v>
      </c>
      <c r="G113" s="143"/>
      <c r="H113" s="143"/>
      <c r="I113" s="144">
        <f>SUM(I109:J112)</f>
        <v>6133396</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2">
    <mergeCell ref="B2:J2"/>
    <mergeCell ref="B3:J3"/>
    <mergeCell ref="B4:B6"/>
    <mergeCell ref="C4:I4"/>
    <mergeCell ref="C5:H5"/>
    <mergeCell ref="I5:J5"/>
    <mergeCell ref="C6:F6"/>
    <mergeCell ref="G6:I6"/>
    <mergeCell ref="E13:F13"/>
    <mergeCell ref="H65:J69"/>
    <mergeCell ref="B63:F63"/>
    <mergeCell ref="H63:J63"/>
    <mergeCell ref="C64:F64"/>
    <mergeCell ref="G64:J64"/>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C99:C100"/>
    <mergeCell ref="E96:E100"/>
    <mergeCell ref="F96: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fitToHeight="0" orientation="portrait" r:id="rId1"/>
  <rowBreaks count="2" manualBreakCount="2">
    <brk id="45" max="10" man="1"/>
    <brk id="91" max="10"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B1:V960"/>
  <sheetViews>
    <sheetView topLeftCell="A73" zoomScaleNormal="100" zoomScaleSheetLayoutView="158" workbookViewId="0">
      <selection activeCell="C81" sqref="C81"/>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30.28515625" style="4" bestFit="1" customWidth="1"/>
    <col min="9" max="9" width="11.7109375" style="4" customWidth="1"/>
    <col min="10" max="10" width="12.140625" style="30" customWidth="1"/>
    <col min="11" max="11" width="1.7109375" style="1" customWidth="1"/>
    <col min="12" max="16384" width="10.7109375" style="1"/>
  </cols>
  <sheetData>
    <row r="1" spans="2:22" ht="8.1" customHeight="1" x14ac:dyDescent="0.25"/>
    <row r="2" spans="2:22" ht="14.1" customHeight="1" thickBot="1" x14ac:dyDescent="0.3">
      <c r="B2" s="188" t="s">
        <v>147</v>
      </c>
      <c r="C2" s="188"/>
      <c r="D2" s="188"/>
      <c r="E2" s="188"/>
      <c r="F2" s="188"/>
      <c r="G2" s="188"/>
      <c r="H2" s="188"/>
      <c r="I2" s="188"/>
      <c r="J2" s="188"/>
    </row>
    <row r="3" spans="2:22" ht="18.75" customHeight="1" thickBot="1" x14ac:dyDescent="0.3">
      <c r="B3" s="177" t="s">
        <v>197</v>
      </c>
      <c r="C3" s="177"/>
      <c r="D3" s="177"/>
      <c r="E3" s="177"/>
      <c r="F3" s="177"/>
      <c r="G3" s="177"/>
      <c r="H3" s="177"/>
      <c r="I3" s="177"/>
      <c r="J3" s="177"/>
    </row>
    <row r="4" spans="2:22" x14ac:dyDescent="0.25">
      <c r="B4" s="178" t="s">
        <v>153</v>
      </c>
      <c r="C4" s="181" t="s">
        <v>24</v>
      </c>
      <c r="D4" s="181"/>
      <c r="E4" s="181"/>
      <c r="F4" s="181"/>
      <c r="G4" s="181"/>
      <c r="H4" s="181"/>
      <c r="I4" s="181"/>
      <c r="J4" s="24"/>
    </row>
    <row r="5" spans="2:22" x14ac:dyDescent="0.25">
      <c r="B5" s="179"/>
      <c r="C5" s="182"/>
      <c r="D5" s="182"/>
      <c r="E5" s="182"/>
      <c r="F5" s="182"/>
      <c r="G5" s="182"/>
      <c r="H5" s="182"/>
      <c r="I5" s="183" t="s">
        <v>5</v>
      </c>
      <c r="J5" s="183"/>
      <c r="V5" s="1">
        <v>9856</v>
      </c>
    </row>
    <row r="6" spans="2:22" ht="15.75" thickBot="1" x14ac:dyDescent="0.3">
      <c r="B6" s="180"/>
      <c r="C6" s="169" t="s">
        <v>7</v>
      </c>
      <c r="D6" s="169"/>
      <c r="E6" s="169"/>
      <c r="F6" s="169"/>
      <c r="G6" s="170" t="s">
        <v>8</v>
      </c>
      <c r="H6" s="170"/>
      <c r="I6" s="170"/>
      <c r="J6" s="25"/>
    </row>
    <row r="7" spans="2:22" ht="45.75" thickBot="1" x14ac:dyDescent="0.3">
      <c r="B7" s="7" t="s">
        <v>2</v>
      </c>
      <c r="C7" s="34" t="s">
        <v>3</v>
      </c>
      <c r="D7" s="34" t="s">
        <v>21</v>
      </c>
      <c r="E7" s="35" t="s">
        <v>22</v>
      </c>
      <c r="F7" s="36" t="s">
        <v>29</v>
      </c>
      <c r="G7" s="18" t="s">
        <v>23</v>
      </c>
      <c r="H7" s="37" t="s">
        <v>4</v>
      </c>
      <c r="I7" s="37" t="s">
        <v>6</v>
      </c>
      <c r="J7" s="120" t="s">
        <v>134</v>
      </c>
    </row>
    <row r="8" spans="2:22" ht="26.25" thickBot="1" x14ac:dyDescent="0.3">
      <c r="B8" s="8" t="s">
        <v>11</v>
      </c>
      <c r="C8" s="10">
        <f>SUM(C9:C10)</f>
        <v>155885</v>
      </c>
      <c r="D8" s="10">
        <f>SUM(D9:D10)</f>
        <v>47747</v>
      </c>
      <c r="E8" s="14"/>
      <c r="F8" s="26">
        <f>G8-C8-D8</f>
        <v>202438</v>
      </c>
      <c r="G8" s="56">
        <f t="shared" ref="G8:G20" si="0">H8+I8</f>
        <v>406070</v>
      </c>
      <c r="H8" s="10">
        <f>SUM(H9:H10)</f>
        <v>396186</v>
      </c>
      <c r="I8" s="10">
        <f t="shared" ref="I8:J8" si="1">SUM(I9:I10)</f>
        <v>9884</v>
      </c>
      <c r="J8" s="79">
        <f t="shared" si="1"/>
        <v>0</v>
      </c>
    </row>
    <row r="9" spans="2:22" ht="36.75" thickBot="1" x14ac:dyDescent="0.3">
      <c r="B9" s="9" t="s">
        <v>66</v>
      </c>
      <c r="C9" s="119">
        <f>147463+1080</f>
        <v>148543</v>
      </c>
      <c r="D9" s="119">
        <f>2500+10000+800+487+20380-16320+371-1+73+145+300+400+218</f>
        <v>19353</v>
      </c>
      <c r="E9" s="121" t="s">
        <v>192</v>
      </c>
      <c r="F9" s="27">
        <f>G9-C9-D9</f>
        <v>174525</v>
      </c>
      <c r="G9" s="77">
        <f t="shared" si="0"/>
        <v>342421</v>
      </c>
      <c r="H9" s="119">
        <f>326972+2000+309+380+500+230+270+370+328+42+73+129+16+300+400+193+25</f>
        <v>332537</v>
      </c>
      <c r="I9" s="119">
        <v>9884</v>
      </c>
      <c r="J9" s="80"/>
      <c r="L9" s="116">
        <v>342421</v>
      </c>
    </row>
    <row r="10" spans="2:22" ht="27" customHeight="1" thickBot="1" x14ac:dyDescent="0.3">
      <c r="B10" s="9" t="s">
        <v>67</v>
      </c>
      <c r="C10" s="123">
        <v>7342</v>
      </c>
      <c r="D10" s="119">
        <f>314+5549+2500+19970+43+18</f>
        <v>28394</v>
      </c>
      <c r="E10" s="121" t="s">
        <v>9</v>
      </c>
      <c r="F10" s="27">
        <f>G10-C10-D10</f>
        <v>27913</v>
      </c>
      <c r="G10" s="17">
        <f t="shared" si="0"/>
        <v>63649</v>
      </c>
      <c r="H10" s="119">
        <f>51670+7036+1632+1018+43+18+311+1921</f>
        <v>63649</v>
      </c>
      <c r="I10" s="119"/>
      <c r="J10" s="80"/>
      <c r="L10" s="108"/>
    </row>
    <row r="11" spans="2:22" ht="26.25" thickBot="1" x14ac:dyDescent="0.3">
      <c r="B11" s="8" t="s">
        <v>12</v>
      </c>
      <c r="C11" s="10">
        <f>SUM(C12:C15)</f>
        <v>17645</v>
      </c>
      <c r="D11" s="10">
        <f>SUM(D12:D15)</f>
        <v>186172</v>
      </c>
      <c r="E11" s="14"/>
      <c r="F11" s="26">
        <f>G11-C11-D11</f>
        <v>67260</v>
      </c>
      <c r="G11" s="56">
        <f t="shared" si="0"/>
        <v>271077</v>
      </c>
      <c r="H11" s="10">
        <f>SUM(H12:H15)</f>
        <v>271077</v>
      </c>
      <c r="I11" s="10">
        <f t="shared" ref="I11:J11" si="2">SUM(I12:I15)</f>
        <v>0</v>
      </c>
      <c r="J11" s="79">
        <f t="shared" si="2"/>
        <v>0</v>
      </c>
      <c r="L11" s="108"/>
    </row>
    <row r="12" spans="2:22" ht="26.25" thickBot="1" x14ac:dyDescent="0.3">
      <c r="B12" s="9" t="s">
        <v>101</v>
      </c>
      <c r="C12" s="119">
        <f>16635+1010</f>
        <v>17645</v>
      </c>
      <c r="D12" s="119">
        <f>42+20+6+81+22+12+227+61+6226</f>
        <v>6697</v>
      </c>
      <c r="E12" s="121" t="s">
        <v>9</v>
      </c>
      <c r="F12" s="27">
        <f>G12-C12-D12-(D13-H13)</f>
        <v>26359</v>
      </c>
      <c r="G12" s="17">
        <f t="shared" si="0"/>
        <v>64761</v>
      </c>
      <c r="H12" s="123">
        <f>12427+27162+4662+3048+6000+75+235+225+221+351+400+45+12+20+6+81+22+227+61+6226+505+166+480+53+655+980+416</f>
        <v>64761</v>
      </c>
      <c r="I12" s="123"/>
      <c r="J12" s="80"/>
      <c r="L12" s="108"/>
      <c r="M12" s="1">
        <v>0</v>
      </c>
    </row>
    <row r="13" spans="2:22" ht="36.75" customHeight="1" thickBot="1" x14ac:dyDescent="0.3">
      <c r="B13" s="9" t="s">
        <v>102</v>
      </c>
      <c r="C13" s="123"/>
      <c r="D13" s="119">
        <f>12087-6186+2993+19190+6080</f>
        <v>34164</v>
      </c>
      <c r="E13" s="186" t="s">
        <v>138</v>
      </c>
      <c r="F13" s="187"/>
      <c r="G13" s="17">
        <f t="shared" si="0"/>
        <v>20104</v>
      </c>
      <c r="H13" s="119">
        <f>6186+10994-3156+6080</f>
        <v>20104</v>
      </c>
      <c r="I13" s="123"/>
      <c r="J13" s="80"/>
      <c r="L13" s="108"/>
    </row>
    <row r="14" spans="2:22" ht="15.75" thickBot="1" x14ac:dyDescent="0.3">
      <c r="B14" s="9" t="s">
        <v>68</v>
      </c>
      <c r="C14" s="123"/>
      <c r="D14" s="123"/>
      <c r="E14" s="121" t="s">
        <v>9</v>
      </c>
      <c r="F14" s="27">
        <f>G14-C14-D14</f>
        <v>40901</v>
      </c>
      <c r="G14" s="17">
        <f t="shared" si="0"/>
        <v>40901</v>
      </c>
      <c r="H14" s="119">
        <f>43802-2901</f>
        <v>40901</v>
      </c>
      <c r="I14" s="123"/>
      <c r="J14" s="80"/>
      <c r="L14" s="108"/>
    </row>
    <row r="15" spans="2:22" ht="15.75" thickBot="1" x14ac:dyDescent="0.3">
      <c r="B15" s="9" t="s">
        <v>193</v>
      </c>
      <c r="C15" s="123"/>
      <c r="D15" s="123">
        <f>30498+114813</f>
        <v>145311</v>
      </c>
      <c r="E15" s="121" t="s">
        <v>9</v>
      </c>
      <c r="F15" s="27">
        <f>G15-C15-D15</f>
        <v>0</v>
      </c>
      <c r="G15" s="17">
        <f t="shared" si="0"/>
        <v>145311</v>
      </c>
      <c r="H15" s="123">
        <f>30498+114813</f>
        <v>145311</v>
      </c>
      <c r="I15" s="123"/>
      <c r="J15" s="80"/>
      <c r="L15" s="108"/>
    </row>
    <row r="16" spans="2:22" ht="26.25" thickBot="1" x14ac:dyDescent="0.3">
      <c r="B16" s="8" t="s">
        <v>13</v>
      </c>
      <c r="C16" s="10">
        <f>SUM(C17:C20)</f>
        <v>468944</v>
      </c>
      <c r="D16" s="10">
        <f>SUM(D17:D20)</f>
        <v>55097</v>
      </c>
      <c r="E16" s="14"/>
      <c r="F16" s="26">
        <f>G16-C16-D16</f>
        <v>37720</v>
      </c>
      <c r="G16" s="56">
        <f t="shared" si="0"/>
        <v>561761</v>
      </c>
      <c r="H16" s="10">
        <f>SUM(H17:H20)</f>
        <v>550898</v>
      </c>
      <c r="I16" s="10">
        <f>SUM(I17:I20)</f>
        <v>10863</v>
      </c>
      <c r="J16" s="79">
        <f>SUM(J17:J20)</f>
        <v>49927</v>
      </c>
      <c r="L16" s="108"/>
    </row>
    <row r="17" spans="2:12" ht="15.75" thickBot="1" x14ac:dyDescent="0.3">
      <c r="B17" s="9" t="s">
        <v>69</v>
      </c>
      <c r="C17" s="119">
        <f>221205+7821+9723+41835+73752</f>
        <v>354336</v>
      </c>
      <c r="D17" s="123"/>
      <c r="E17" s="121" t="s">
        <v>10</v>
      </c>
      <c r="F17" s="27">
        <f>G17-C17-D17</f>
        <v>1730</v>
      </c>
      <c r="G17" s="17">
        <f t="shared" si="0"/>
        <v>356066</v>
      </c>
      <c r="H17" s="119">
        <f>338669+6534</f>
        <v>345203</v>
      </c>
      <c r="I17" s="119">
        <v>10863</v>
      </c>
      <c r="J17" s="80"/>
      <c r="L17" s="116">
        <v>418176</v>
      </c>
    </row>
    <row r="18" spans="2:12" ht="32.1" customHeight="1" thickBot="1" x14ac:dyDescent="0.3">
      <c r="B18" s="9" t="s">
        <v>189</v>
      </c>
      <c r="C18" s="119">
        <v>38960</v>
      </c>
      <c r="D18" s="119">
        <f>11085</f>
        <v>11085</v>
      </c>
      <c r="E18" s="121" t="s">
        <v>10</v>
      </c>
      <c r="F18" s="27">
        <f>G18-C18-D18</f>
        <v>12065</v>
      </c>
      <c r="G18" s="17">
        <f t="shared" si="0"/>
        <v>62110</v>
      </c>
      <c r="H18" s="119">
        <f>62110</f>
        <v>62110</v>
      </c>
      <c r="I18" s="119"/>
      <c r="J18" s="80"/>
      <c r="L18" s="108"/>
    </row>
    <row r="19" spans="2:12" ht="26.25" thickBot="1" x14ac:dyDescent="0.3">
      <c r="B19" s="9" t="s">
        <v>71</v>
      </c>
      <c r="C19" s="119">
        <v>75648</v>
      </c>
      <c r="D19" s="119">
        <f>35056+5663+3293</f>
        <v>44012</v>
      </c>
      <c r="E19" s="121" t="s">
        <v>10</v>
      </c>
      <c r="F19" s="69">
        <f t="shared" ref="F19:F20" si="3">G19-C19-D19</f>
        <v>23925</v>
      </c>
      <c r="G19" s="17">
        <f t="shared" si="0"/>
        <v>143585</v>
      </c>
      <c r="H19" s="119">
        <f>87439+23609+23026+6218+3293</f>
        <v>143585</v>
      </c>
      <c r="I19" s="119"/>
      <c r="J19" s="80"/>
    </row>
    <row r="20" spans="2:12" ht="39" thickBot="1" x14ac:dyDescent="0.3">
      <c r="B20" s="9" t="s">
        <v>130</v>
      </c>
      <c r="C20" s="123"/>
      <c r="D20" s="123"/>
      <c r="E20" s="121" t="s">
        <v>10</v>
      </c>
      <c r="F20" s="27">
        <f t="shared" si="3"/>
        <v>0</v>
      </c>
      <c r="G20" s="17">
        <f t="shared" si="0"/>
        <v>0</v>
      </c>
      <c r="H20" s="119"/>
      <c r="I20" s="119"/>
      <c r="J20" s="102">
        <f>41329+8598</f>
        <v>49927</v>
      </c>
    </row>
    <row r="21" spans="2:12" ht="36.6" customHeight="1" thickBot="1" x14ac:dyDescent="0.3">
      <c r="B21" s="8" t="s">
        <v>38</v>
      </c>
      <c r="C21" s="10">
        <f>SUM(C22:C26)</f>
        <v>12549</v>
      </c>
      <c r="D21" s="10">
        <f>SUM(D22:D26)</f>
        <v>0</v>
      </c>
      <c r="E21" s="14"/>
      <c r="F21" s="26">
        <f>G21-C21-D21</f>
        <v>129015</v>
      </c>
      <c r="G21" s="56">
        <f>H21+I21</f>
        <v>141564</v>
      </c>
      <c r="H21" s="10">
        <f>SUM(H22:H26)</f>
        <v>0</v>
      </c>
      <c r="I21" s="10">
        <f>SUM(I22:I26)</f>
        <v>141564</v>
      </c>
      <c r="J21" s="79">
        <f>SUM(J22:J26)</f>
        <v>35518</v>
      </c>
    </row>
    <row r="22" spans="2:12" ht="15.75" thickBot="1" x14ac:dyDescent="0.3">
      <c r="B22" s="41" t="s">
        <v>72</v>
      </c>
      <c r="C22" s="119">
        <v>2302</v>
      </c>
      <c r="D22" s="123"/>
      <c r="E22" s="121" t="s">
        <v>10</v>
      </c>
      <c r="F22" s="27">
        <f>G22-C22-D22</f>
        <v>2819</v>
      </c>
      <c r="G22" s="17">
        <f>H22+I22</f>
        <v>5121</v>
      </c>
      <c r="H22" s="119"/>
      <c r="I22" s="119">
        <v>5121</v>
      </c>
      <c r="J22" s="102">
        <v>3160</v>
      </c>
    </row>
    <row r="23" spans="2:12" ht="26.25" thickBot="1" x14ac:dyDescent="0.3">
      <c r="B23" s="41" t="s">
        <v>73</v>
      </c>
      <c r="C23" s="119">
        <f>9477+770</f>
        <v>10247</v>
      </c>
      <c r="D23" s="123"/>
      <c r="E23" s="121" t="s">
        <v>10</v>
      </c>
      <c r="F23" s="27">
        <f>G23-C23-D23</f>
        <v>23540</v>
      </c>
      <c r="G23" s="17">
        <f>H23+I23</f>
        <v>33787</v>
      </c>
      <c r="H23" s="119"/>
      <c r="I23" s="119">
        <v>33787</v>
      </c>
      <c r="J23" s="102">
        <v>4678</v>
      </c>
    </row>
    <row r="24" spans="2:12" ht="15.75" thickBot="1" x14ac:dyDescent="0.3">
      <c r="B24" s="41" t="s">
        <v>74</v>
      </c>
      <c r="C24" s="123"/>
      <c r="D24" s="123"/>
      <c r="E24" s="121" t="s">
        <v>9</v>
      </c>
      <c r="F24" s="27">
        <f>G24-C24-D24</f>
        <v>6953</v>
      </c>
      <c r="G24" s="17">
        <f>H24+I24</f>
        <v>6953</v>
      </c>
      <c r="H24" s="119"/>
      <c r="I24" s="119">
        <v>6953</v>
      </c>
      <c r="J24" s="102"/>
    </row>
    <row r="25" spans="2:12" ht="39" thickBot="1" x14ac:dyDescent="0.3">
      <c r="B25" s="41" t="s">
        <v>127</v>
      </c>
      <c r="C25" s="123"/>
      <c r="D25" s="123"/>
      <c r="E25" s="121" t="s">
        <v>9</v>
      </c>
      <c r="F25" s="27">
        <f t="shared" ref="F25:F26" si="4">G25-C25-D25</f>
        <v>89254</v>
      </c>
      <c r="G25" s="17">
        <f>H25+I25</f>
        <v>89254</v>
      </c>
      <c r="H25" s="119"/>
      <c r="I25" s="119">
        <f>21597+7721+4098+12386+6648-375+11742+19045+5354+2530-1492</f>
        <v>89254</v>
      </c>
      <c r="J25" s="103">
        <f>440+4107+9380+6609</f>
        <v>20536</v>
      </c>
    </row>
    <row r="26" spans="2:12" ht="26.25" thickBot="1" x14ac:dyDescent="0.3">
      <c r="B26" s="41" t="s">
        <v>75</v>
      </c>
      <c r="C26" s="123"/>
      <c r="D26" s="123"/>
      <c r="E26" s="121" t="s">
        <v>9</v>
      </c>
      <c r="F26" s="27">
        <f t="shared" si="4"/>
        <v>6449</v>
      </c>
      <c r="G26" s="17">
        <f t="shared" ref="G26" si="5">H26+I26</f>
        <v>6449</v>
      </c>
      <c r="H26" s="123"/>
      <c r="I26" s="123">
        <f>1237+5212</f>
        <v>6449</v>
      </c>
      <c r="J26" s="102">
        <f>4510+2634</f>
        <v>7144</v>
      </c>
    </row>
    <row r="27" spans="2:12" ht="15.75" thickBot="1" x14ac:dyDescent="0.3">
      <c r="B27" s="8" t="s">
        <v>14</v>
      </c>
      <c r="C27" s="10">
        <f>SUM(C28:C30)</f>
        <v>25525</v>
      </c>
      <c r="D27" s="10">
        <f>SUM(D28:D30)</f>
        <v>0</v>
      </c>
      <c r="E27" s="14"/>
      <c r="F27" s="26">
        <f>G27-C27-D27</f>
        <v>19622</v>
      </c>
      <c r="G27" s="56">
        <f>H27+I27</f>
        <v>45147</v>
      </c>
      <c r="H27" s="10">
        <f>SUM(H28:H30)</f>
        <v>23781</v>
      </c>
      <c r="I27" s="10">
        <f t="shared" ref="I27:J27" si="6">SUM(I28:I30)</f>
        <v>21366</v>
      </c>
      <c r="J27" s="104">
        <f t="shared" si="6"/>
        <v>621</v>
      </c>
    </row>
    <row r="28" spans="2:12" ht="24.75" thickBot="1" x14ac:dyDescent="0.3">
      <c r="B28" s="9" t="s">
        <v>76</v>
      </c>
      <c r="C28" s="123"/>
      <c r="D28" s="123"/>
      <c r="E28" s="121" t="s">
        <v>41</v>
      </c>
      <c r="F28" s="27">
        <f>G28-C28-D28</f>
        <v>12728</v>
      </c>
      <c r="G28" s="17">
        <f>H28+I28</f>
        <v>12728</v>
      </c>
      <c r="H28" s="61"/>
      <c r="I28" s="119">
        <v>12728</v>
      </c>
      <c r="J28" s="102">
        <v>621</v>
      </c>
    </row>
    <row r="29" spans="2:12" ht="39" thickBot="1" x14ac:dyDescent="0.3">
      <c r="B29" s="9" t="s">
        <v>190</v>
      </c>
      <c r="C29" s="119">
        <v>5951</v>
      </c>
      <c r="D29" s="123"/>
      <c r="E29" s="121" t="s">
        <v>10</v>
      </c>
      <c r="F29" s="27">
        <f>G29-C29-D29</f>
        <v>2687</v>
      </c>
      <c r="G29" s="17">
        <f>H29+I29</f>
        <v>8638</v>
      </c>
      <c r="H29" s="61"/>
      <c r="I29" s="119">
        <v>8638</v>
      </c>
      <c r="J29" s="80"/>
    </row>
    <row r="30" spans="2:12" ht="15.75" thickBot="1" x14ac:dyDescent="0.3">
      <c r="B30" s="9" t="s">
        <v>78</v>
      </c>
      <c r="C30" s="119">
        <f>11524+8050</f>
        <v>19574</v>
      </c>
      <c r="D30" s="123"/>
      <c r="E30" s="121" t="s">
        <v>10</v>
      </c>
      <c r="F30" s="69">
        <f t="shared" ref="F30:F38" si="7">G30-C30-D30</f>
        <v>4207</v>
      </c>
      <c r="G30" s="17">
        <f t="shared" ref="G30:G38" si="8">H30+I30</f>
        <v>23781</v>
      </c>
      <c r="H30" s="119">
        <f>23781</f>
        <v>23781</v>
      </c>
      <c r="I30" s="119"/>
      <c r="J30" s="80"/>
    </row>
    <row r="31" spans="2:12" ht="34.35" customHeight="1" thickBot="1" x14ac:dyDescent="0.3">
      <c r="B31" s="8" t="s">
        <v>15</v>
      </c>
      <c r="C31" s="10">
        <f>SUM(C32:C33)</f>
        <v>249716</v>
      </c>
      <c r="D31" s="10">
        <f>SUM(D32:D33)</f>
        <v>0</v>
      </c>
      <c r="E31" s="14"/>
      <c r="F31" s="26">
        <f t="shared" si="7"/>
        <v>30240</v>
      </c>
      <c r="G31" s="56">
        <f t="shared" si="8"/>
        <v>279956</v>
      </c>
      <c r="H31" s="10">
        <f>SUM(H32:H33)</f>
        <v>279956</v>
      </c>
      <c r="I31" s="10">
        <f>SUM(I32:I33)</f>
        <v>0</v>
      </c>
      <c r="J31" s="79">
        <f>SUM(J32:J33)</f>
        <v>0</v>
      </c>
    </row>
    <row r="32" spans="2:12" ht="51.75" thickBot="1" x14ac:dyDescent="0.3">
      <c r="B32" s="9" t="s">
        <v>191</v>
      </c>
      <c r="C32" s="119">
        <v>31</v>
      </c>
      <c r="D32" s="123"/>
      <c r="E32" s="121" t="s">
        <v>10</v>
      </c>
      <c r="F32" s="27">
        <f t="shared" si="7"/>
        <v>6500</v>
      </c>
      <c r="G32" s="17">
        <f t="shared" si="8"/>
        <v>6531</v>
      </c>
      <c r="H32" s="119">
        <v>6531</v>
      </c>
      <c r="I32" s="123"/>
      <c r="J32" s="80"/>
    </row>
    <row r="33" spans="2:10" ht="48" customHeight="1" thickBot="1" x14ac:dyDescent="0.3">
      <c r="B33" s="9" t="s">
        <v>183</v>
      </c>
      <c r="C33" s="119">
        <f>228642+9352+2534+3040+6117</f>
        <v>249685</v>
      </c>
      <c r="D33" s="123"/>
      <c r="E33" s="121" t="s">
        <v>9</v>
      </c>
      <c r="F33" s="27">
        <f t="shared" si="7"/>
        <v>23740</v>
      </c>
      <c r="G33" s="17">
        <f t="shared" si="8"/>
        <v>273425</v>
      </c>
      <c r="H33" s="119">
        <f>228642+24928-1188+9352+2534+3040+6117</f>
        <v>273425</v>
      </c>
      <c r="I33" s="123"/>
      <c r="J33" s="90"/>
    </row>
    <row r="34" spans="2:10" ht="26.25" thickBot="1" x14ac:dyDescent="0.3">
      <c r="B34" s="8" t="s">
        <v>16</v>
      </c>
      <c r="C34" s="10">
        <f>SUM(C35:C38)</f>
        <v>0</v>
      </c>
      <c r="D34" s="10">
        <f>SUM(D35:D38)</f>
        <v>18323</v>
      </c>
      <c r="E34" s="14"/>
      <c r="F34" s="26">
        <f t="shared" si="7"/>
        <v>13590</v>
      </c>
      <c r="G34" s="56">
        <f t="shared" si="8"/>
        <v>31913</v>
      </c>
      <c r="H34" s="10">
        <f>SUM(H35:H38)</f>
        <v>21783</v>
      </c>
      <c r="I34" s="10">
        <f t="shared" ref="I34:J34" si="9">SUM(I35:I38)</f>
        <v>10130</v>
      </c>
      <c r="J34" s="79">
        <f t="shared" si="9"/>
        <v>5868</v>
      </c>
    </row>
    <row r="35" spans="2:10" ht="15.75" thickBot="1" x14ac:dyDescent="0.3">
      <c r="B35" s="9" t="s">
        <v>81</v>
      </c>
      <c r="C35" s="119"/>
      <c r="D35" s="123">
        <f>10438+541</f>
        <v>10979</v>
      </c>
      <c r="E35" s="67" t="s">
        <v>10</v>
      </c>
      <c r="F35" s="27">
        <f t="shared" si="7"/>
        <v>0</v>
      </c>
      <c r="G35" s="17">
        <f t="shared" si="8"/>
        <v>10979</v>
      </c>
      <c r="H35" s="119">
        <f>7980+1051+878+311+759</f>
        <v>10979</v>
      </c>
      <c r="I35" s="119"/>
      <c r="J35" s="80"/>
    </row>
    <row r="36" spans="2:10" ht="26.25" thickBot="1" x14ac:dyDescent="0.3">
      <c r="B36" s="9" t="s">
        <v>82</v>
      </c>
      <c r="C36" s="123"/>
      <c r="D36" s="123">
        <f>5600+1512</f>
        <v>7112</v>
      </c>
      <c r="E36" s="67" t="s">
        <v>10</v>
      </c>
      <c r="F36" s="27">
        <f t="shared" si="7"/>
        <v>10130</v>
      </c>
      <c r="G36" s="17">
        <f t="shared" si="8"/>
        <v>17242</v>
      </c>
      <c r="H36" s="119">
        <f>7112</f>
        <v>7112</v>
      </c>
      <c r="I36" s="119">
        <f>10129+1</f>
        <v>10130</v>
      </c>
      <c r="J36" s="102">
        <v>5868</v>
      </c>
    </row>
    <row r="37" spans="2:10" ht="15.75" thickBot="1" x14ac:dyDescent="0.3">
      <c r="B37" s="9" t="s">
        <v>83</v>
      </c>
      <c r="C37" s="123"/>
      <c r="D37" s="123">
        <v>232</v>
      </c>
      <c r="E37" s="67" t="s">
        <v>10</v>
      </c>
      <c r="F37" s="27">
        <f t="shared" si="7"/>
        <v>2272</v>
      </c>
      <c r="G37" s="17">
        <f t="shared" si="8"/>
        <v>2504</v>
      </c>
      <c r="H37" s="119">
        <f>2272+232</f>
        <v>2504</v>
      </c>
      <c r="I37" s="119"/>
      <c r="J37" s="81"/>
    </row>
    <row r="38" spans="2:10" ht="15.75" thickBot="1" x14ac:dyDescent="0.3">
      <c r="B38" s="9" t="s">
        <v>182</v>
      </c>
      <c r="C38" s="123"/>
      <c r="D38" s="123"/>
      <c r="E38" s="67" t="s">
        <v>10</v>
      </c>
      <c r="F38" s="27">
        <f t="shared" si="7"/>
        <v>1188</v>
      </c>
      <c r="G38" s="17">
        <f t="shared" si="8"/>
        <v>1188</v>
      </c>
      <c r="H38" s="119">
        <v>1188</v>
      </c>
      <c r="I38" s="119"/>
      <c r="J38" s="81"/>
    </row>
    <row r="39" spans="2:10" ht="15.75" thickBot="1" x14ac:dyDescent="0.3">
      <c r="B39" s="9" t="s">
        <v>194</v>
      </c>
      <c r="C39" s="123"/>
      <c r="D39" s="123"/>
      <c r="E39" s="67" t="s">
        <v>10</v>
      </c>
      <c r="F39" s="27"/>
      <c r="G39" s="17"/>
      <c r="H39" s="119"/>
      <c r="I39" s="119"/>
      <c r="J39" s="81"/>
    </row>
    <row r="40" spans="2:10" ht="15.75" thickBot="1" x14ac:dyDescent="0.3">
      <c r="B40" s="8" t="s">
        <v>17</v>
      </c>
      <c r="C40" s="10">
        <f>SUM(C41:C44)</f>
        <v>13147</v>
      </c>
      <c r="D40" s="10">
        <f>SUM(D41:D44)</f>
        <v>0</v>
      </c>
      <c r="E40" s="14"/>
      <c r="F40" s="26">
        <f>G40-C40-D40</f>
        <v>148778</v>
      </c>
      <c r="G40" s="56">
        <f>H40+I40</f>
        <v>161925</v>
      </c>
      <c r="H40" s="10">
        <f>SUM(H41:H44)</f>
        <v>1315</v>
      </c>
      <c r="I40" s="10">
        <f>SUM(I41:I44)</f>
        <v>160610</v>
      </c>
      <c r="J40" s="104">
        <f>SUM(J41:J44)</f>
        <v>7320</v>
      </c>
    </row>
    <row r="41" spans="2:10" ht="39" thickBot="1" x14ac:dyDescent="0.3">
      <c r="B41" s="9" t="s">
        <v>129</v>
      </c>
      <c r="C41" s="155">
        <v>13147</v>
      </c>
      <c r="D41" s="123"/>
      <c r="E41" s="121" t="s">
        <v>9</v>
      </c>
      <c r="F41" s="27">
        <f>G41-C41-D41</f>
        <v>89804</v>
      </c>
      <c r="G41" s="17">
        <f>H41+I41</f>
        <v>102951</v>
      </c>
      <c r="H41" s="119"/>
      <c r="I41" s="119">
        <f>102018-14200+6300+8833</f>
        <v>102951</v>
      </c>
      <c r="J41" s="102">
        <v>4524</v>
      </c>
    </row>
    <row r="42" spans="2:10" ht="15.75" thickBot="1" x14ac:dyDescent="0.3">
      <c r="B42" s="9" t="s">
        <v>85</v>
      </c>
      <c r="C42" s="157"/>
      <c r="D42" s="123"/>
      <c r="E42" s="121" t="s">
        <v>9</v>
      </c>
      <c r="F42" s="27">
        <f>G42-C42-D42</f>
        <v>14200</v>
      </c>
      <c r="G42" s="17">
        <f>H42+I42</f>
        <v>14200</v>
      </c>
      <c r="H42" s="119"/>
      <c r="I42" s="119">
        <v>14200</v>
      </c>
      <c r="J42" s="102"/>
    </row>
    <row r="43" spans="2:10" ht="26.25" thickBot="1" x14ac:dyDescent="0.3">
      <c r="B43" s="9" t="s">
        <v>86</v>
      </c>
      <c r="C43" s="157"/>
      <c r="D43" s="123"/>
      <c r="E43" s="121" t="s">
        <v>9</v>
      </c>
      <c r="F43" s="27">
        <f t="shared" ref="F43:F44" si="10">G43-C43-D43</f>
        <v>22092</v>
      </c>
      <c r="G43" s="17">
        <f t="shared" ref="G43:G44" si="11">H43+I43</f>
        <v>22092</v>
      </c>
      <c r="H43" s="119">
        <v>1315</v>
      </c>
      <c r="I43" s="119">
        <v>20777</v>
      </c>
      <c r="J43" s="102">
        <v>396</v>
      </c>
    </row>
    <row r="44" spans="2:10" ht="15.75" thickBot="1" x14ac:dyDescent="0.3">
      <c r="B44" s="53" t="s">
        <v>87</v>
      </c>
      <c r="C44" s="156"/>
      <c r="D44" s="118"/>
      <c r="E44" s="121" t="s">
        <v>9</v>
      </c>
      <c r="F44" s="54">
        <f t="shared" si="10"/>
        <v>22682</v>
      </c>
      <c r="G44" s="55">
        <f t="shared" si="11"/>
        <v>22682</v>
      </c>
      <c r="H44" s="88"/>
      <c r="I44" s="88">
        <v>22682</v>
      </c>
      <c r="J44" s="105">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196</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120" t="s">
        <v>134</v>
      </c>
    </row>
    <row r="52" spans="2:10" ht="26.25" thickBot="1" x14ac:dyDescent="0.3">
      <c r="B52" s="8" t="s">
        <v>18</v>
      </c>
      <c r="C52" s="10">
        <f>SUM(C53:C56)</f>
        <v>0</v>
      </c>
      <c r="D52" s="10">
        <f>SUM(D53:D56)</f>
        <v>0</v>
      </c>
      <c r="E52" s="14"/>
      <c r="F52" s="26">
        <f>G52-C52-D52</f>
        <v>25372</v>
      </c>
      <c r="G52" s="56">
        <f>H52+I52</f>
        <v>25372</v>
      </c>
      <c r="H52" s="10">
        <f>SUM(H53:H56)</f>
        <v>25372</v>
      </c>
      <c r="I52" s="10">
        <f>SUM(I53:I56)</f>
        <v>0</v>
      </c>
      <c r="J52" s="79">
        <f>SUM(J53:J56)</f>
        <v>0</v>
      </c>
    </row>
    <row r="53" spans="2:10" ht="26.25" thickBot="1" x14ac:dyDescent="0.3">
      <c r="B53" s="9" t="s">
        <v>88</v>
      </c>
      <c r="C53" s="123"/>
      <c r="D53" s="123"/>
      <c r="E53" s="121" t="s">
        <v>186</v>
      </c>
      <c r="F53" s="27">
        <f>G53-C53-D53</f>
        <v>15372</v>
      </c>
      <c r="G53" s="17">
        <f>H53+I53</f>
        <v>15372</v>
      </c>
      <c r="H53" s="119">
        <f>12000+2160+912+300</f>
        <v>15372</v>
      </c>
      <c r="I53" s="123"/>
      <c r="J53" s="80"/>
    </row>
    <row r="54" spans="2:10" ht="21" customHeight="1" thickBot="1" x14ac:dyDescent="0.3">
      <c r="B54" s="9" t="s">
        <v>89</v>
      </c>
      <c r="C54" s="123"/>
      <c r="D54" s="123"/>
      <c r="E54" s="121" t="s">
        <v>186</v>
      </c>
      <c r="F54" s="27">
        <f t="shared" ref="F54" si="12">G54-C54-D54</f>
        <v>3000</v>
      </c>
      <c r="G54" s="17">
        <f t="shared" ref="G54" si="13">H54+I54</f>
        <v>3000</v>
      </c>
      <c r="H54" s="119">
        <v>3000</v>
      </c>
      <c r="I54" s="123"/>
      <c r="J54" s="80"/>
    </row>
    <row r="55" spans="2:10" ht="26.25" thickBot="1" x14ac:dyDescent="0.3">
      <c r="B55" s="9" t="s">
        <v>188</v>
      </c>
      <c r="C55" s="123"/>
      <c r="D55" s="123"/>
      <c r="E55" s="121" t="s">
        <v>9</v>
      </c>
      <c r="F55" s="27">
        <f>G55-C55-D55</f>
        <v>5000</v>
      </c>
      <c r="G55" s="17">
        <f>H55+I55</f>
        <v>5000</v>
      </c>
      <c r="H55" s="119">
        <v>5000</v>
      </c>
      <c r="I55" s="123"/>
      <c r="J55" s="80"/>
    </row>
    <row r="56" spans="2:10" ht="26.25" thickBot="1" x14ac:dyDescent="0.3">
      <c r="B56" s="9" t="s">
        <v>187</v>
      </c>
      <c r="C56" s="123"/>
      <c r="D56" s="123"/>
      <c r="E56" s="121" t="s">
        <v>9</v>
      </c>
      <c r="F56" s="27">
        <f t="shared" ref="F56" si="14">G56-C56-D56</f>
        <v>2000</v>
      </c>
      <c r="G56" s="17">
        <f t="shared" ref="G56" si="15">H56+I56</f>
        <v>2000</v>
      </c>
      <c r="H56" s="119">
        <v>2000</v>
      </c>
      <c r="I56" s="123"/>
      <c r="J56" s="80"/>
    </row>
    <row r="57" spans="2:10" ht="26.25" thickBot="1" x14ac:dyDescent="0.3">
      <c r="B57" s="8" t="s">
        <v>140</v>
      </c>
      <c r="C57" s="10">
        <f>SUM(C58:C61)</f>
        <v>0</v>
      </c>
      <c r="D57" s="10">
        <f>SUM(D58:D61)</f>
        <v>0</v>
      </c>
      <c r="E57" s="14"/>
      <c r="F57" s="26">
        <f>G57-C57-D57</f>
        <v>12000</v>
      </c>
      <c r="G57" s="56">
        <f>H57+I57</f>
        <v>12000</v>
      </c>
      <c r="H57" s="89">
        <f>SUM(H58:H61)</f>
        <v>12000</v>
      </c>
      <c r="I57" s="10">
        <f t="shared" ref="I57:J57" si="16">SUM(I58:I61)</f>
        <v>0</v>
      </c>
      <c r="J57" s="79">
        <f t="shared" si="16"/>
        <v>153752</v>
      </c>
    </row>
    <row r="58" spans="2:10" ht="26.25" thickBot="1" x14ac:dyDescent="0.3">
      <c r="B58" s="9" t="s">
        <v>139</v>
      </c>
      <c r="C58" s="123"/>
      <c r="D58" s="123"/>
      <c r="E58" s="121" t="s">
        <v>9</v>
      </c>
      <c r="F58" s="27">
        <f>G58-C58-D58</f>
        <v>0</v>
      </c>
      <c r="G58" s="17">
        <f>H58+I58</f>
        <v>0</v>
      </c>
      <c r="H58" s="123">
        <v>0</v>
      </c>
      <c r="I58" s="123"/>
      <c r="J58" s="102">
        <f>55300+5892</f>
        <v>61192</v>
      </c>
    </row>
    <row r="59" spans="2:10" ht="15.75" thickBot="1" x14ac:dyDescent="0.3">
      <c r="B59" s="9" t="s">
        <v>92</v>
      </c>
      <c r="C59" s="123"/>
      <c r="D59" s="123"/>
      <c r="E59" s="121" t="s">
        <v>9</v>
      </c>
      <c r="F59" s="27">
        <f>G59-C59-D59</f>
        <v>0</v>
      </c>
      <c r="G59" s="17">
        <f>H59+I59</f>
        <v>0</v>
      </c>
      <c r="H59" s="123">
        <v>0</v>
      </c>
      <c r="I59" s="123"/>
      <c r="J59" s="102">
        <f>2290+18520</f>
        <v>20810</v>
      </c>
    </row>
    <row r="60" spans="2:10" ht="26.25" thickBot="1" x14ac:dyDescent="0.3">
      <c r="B60" s="9" t="s">
        <v>93</v>
      </c>
      <c r="C60" s="123"/>
      <c r="D60" s="123"/>
      <c r="E60" s="121" t="s">
        <v>9</v>
      </c>
      <c r="F60" s="27">
        <f t="shared" ref="F60:F62" si="17">G60-C60-D60</f>
        <v>0</v>
      </c>
      <c r="G60" s="17">
        <f t="shared" ref="G60:G61" si="18">H60+I60</f>
        <v>0</v>
      </c>
      <c r="H60" s="123">
        <v>0</v>
      </c>
      <c r="I60" s="123"/>
      <c r="J60" s="102">
        <v>71750</v>
      </c>
    </row>
    <row r="61" spans="2:10" ht="26.25" thickBot="1" x14ac:dyDescent="0.3">
      <c r="B61" s="9" t="s">
        <v>94</v>
      </c>
      <c r="C61" s="123"/>
      <c r="D61" s="123"/>
      <c r="E61" s="121" t="s">
        <v>9</v>
      </c>
      <c r="F61" s="27">
        <f>G61-C61-D61</f>
        <v>12000</v>
      </c>
      <c r="G61" s="17">
        <f t="shared" si="18"/>
        <v>12000</v>
      </c>
      <c r="H61" s="119">
        <v>12000</v>
      </c>
      <c r="I61" s="123"/>
      <c r="J61" s="98"/>
    </row>
    <row r="62" spans="2:10" ht="29.1" customHeight="1" thickBot="1" x14ac:dyDescent="0.3">
      <c r="B62" s="60" t="s">
        <v>30</v>
      </c>
      <c r="C62" s="21">
        <f>C57+C52+C40+C34+C31+C27+C21+C16+C11+C8</f>
        <v>943411</v>
      </c>
      <c r="D62" s="21">
        <f>D57+D52+D40+D34+D31+D27+D21+D16+D11+D8</f>
        <v>307339</v>
      </c>
      <c r="E62" s="43"/>
      <c r="F62" s="31">
        <f t="shared" si="17"/>
        <v>686035</v>
      </c>
      <c r="G62" s="44">
        <f>G57+G52+G40+G34+G31+G27+G21+G16+G11+G8</f>
        <v>1936785</v>
      </c>
      <c r="H62" s="21">
        <f>H57+H52+H40+H34+H31+H27+H21+H16+H11+H8</f>
        <v>1582368</v>
      </c>
      <c r="I62" s="45">
        <f>I57+I52+I40+I34+I31+I27+I21+I16+I11+I8</f>
        <v>354417</v>
      </c>
      <c r="J62" s="46">
        <f>J57+J52+J40+J34+J31+J27+J21+J16+J11+J8</f>
        <v>253006</v>
      </c>
    </row>
    <row r="63" spans="2:10" ht="26.1" customHeight="1" thickBot="1" x14ac:dyDescent="0.3">
      <c r="B63" s="142" t="s">
        <v>136</v>
      </c>
      <c r="C63" s="142"/>
      <c r="D63" s="142"/>
      <c r="E63" s="142"/>
      <c r="F63" s="166"/>
      <c r="G63" s="74">
        <f>G62-C62-D62-F62</f>
        <v>0</v>
      </c>
      <c r="H63" s="167"/>
      <c r="I63" s="168"/>
      <c r="J63" s="168"/>
    </row>
    <row r="64" spans="2:10" ht="26.25" customHeight="1" thickBot="1" x14ac:dyDescent="0.3">
      <c r="B64" s="20" t="s">
        <v>34</v>
      </c>
      <c r="C64" s="184" t="s">
        <v>1</v>
      </c>
      <c r="D64" s="184"/>
      <c r="E64" s="184"/>
      <c r="F64" s="185"/>
      <c r="G64" s="147" t="s">
        <v>45</v>
      </c>
      <c r="H64" s="147"/>
      <c r="I64" s="147"/>
      <c r="J64" s="147"/>
    </row>
    <row r="65" spans="2:12" ht="36" customHeight="1" thickBot="1" x14ac:dyDescent="0.3">
      <c r="B65" s="7" t="s">
        <v>2</v>
      </c>
      <c r="C65" s="76" t="s">
        <v>105</v>
      </c>
      <c r="D65" s="34" t="s">
        <v>0</v>
      </c>
      <c r="E65" s="35" t="s">
        <v>48</v>
      </c>
      <c r="F65" s="36" t="s">
        <v>49</v>
      </c>
      <c r="G65" s="18" t="s">
        <v>59</v>
      </c>
      <c r="H65" s="160" t="s">
        <v>46</v>
      </c>
      <c r="I65" s="161"/>
      <c r="J65" s="161"/>
    </row>
    <row r="66" spans="2:12" ht="15.75" thickBot="1" x14ac:dyDescent="0.3">
      <c r="B66" s="8" t="s">
        <v>42</v>
      </c>
      <c r="C66" s="10">
        <f>SUM(C67:C70)</f>
        <v>922381</v>
      </c>
      <c r="D66" s="10">
        <f>SUM(D67:D70)</f>
        <v>33941</v>
      </c>
      <c r="E66" s="14"/>
      <c r="F66" s="10">
        <f>SUM(F67:F70)</f>
        <v>10465</v>
      </c>
      <c r="G66" s="86">
        <f>SUM(G67:G70)</f>
        <v>397813</v>
      </c>
      <c r="H66" s="162"/>
      <c r="I66" s="163"/>
      <c r="J66" s="163"/>
    </row>
    <row r="67" spans="2:12" ht="44.45" customHeight="1" thickBot="1" x14ac:dyDescent="0.3">
      <c r="B67" s="9" t="s">
        <v>95</v>
      </c>
      <c r="C67" s="123">
        <f>78+8643</f>
        <v>8721</v>
      </c>
      <c r="D67" s="123"/>
      <c r="E67" s="117" t="s">
        <v>50</v>
      </c>
      <c r="F67" s="27">
        <f>10000-505-2160-912-311-166-480-1921-53-655-980-300-416</f>
        <v>1141</v>
      </c>
      <c r="G67" s="77">
        <f>C67+D67+F67</f>
        <v>9862</v>
      </c>
      <c r="H67" s="162"/>
      <c r="I67" s="163"/>
      <c r="J67" s="163"/>
      <c r="L67" s="116">
        <v>9862</v>
      </c>
    </row>
    <row r="68" spans="2:12" ht="45.75" thickBot="1" x14ac:dyDescent="0.3">
      <c r="B68" s="9" t="s">
        <v>96</v>
      </c>
      <c r="C68" s="123">
        <v>74458</v>
      </c>
      <c r="D68" s="119">
        <f>590+22321+160+6026+4844</f>
        <v>33941</v>
      </c>
      <c r="E68" s="117" t="s">
        <v>47</v>
      </c>
      <c r="F68" s="27"/>
      <c r="G68" s="77">
        <f>C68+D68+F68-F75</f>
        <v>100638</v>
      </c>
      <c r="H68" s="162"/>
      <c r="I68" s="163"/>
      <c r="J68" s="163"/>
      <c r="L68" s="116">
        <v>100638</v>
      </c>
    </row>
    <row r="69" spans="2:12" ht="45.75" thickBot="1" x14ac:dyDescent="0.3">
      <c r="B69" s="9" t="s">
        <v>97</v>
      </c>
      <c r="C69" s="123">
        <f>15377+7000+10000</f>
        <v>32377</v>
      </c>
      <c r="D69" s="123"/>
      <c r="E69" s="117" t="s">
        <v>150</v>
      </c>
      <c r="F69" s="27"/>
      <c r="G69" s="77">
        <f>C69+D69+F69</f>
        <v>32377</v>
      </c>
      <c r="H69" s="164"/>
      <c r="I69" s="165"/>
      <c r="J69" s="165"/>
      <c r="L69" s="116">
        <v>32377</v>
      </c>
    </row>
    <row r="70" spans="2:12" ht="44.1" customHeight="1" thickBot="1" x14ac:dyDescent="0.3">
      <c r="B70" s="9" t="s">
        <v>107</v>
      </c>
      <c r="C70" s="97">
        <f>195000+4300+38250+8076+350+6000+75+2159+235+225+221+351+400+45+2985+870+1632+1018+40000+9856+211637+20704+1350+54039+9601+5773+1030-1+10000+1247+32609+146788</f>
        <v>806825</v>
      </c>
      <c r="D70" s="119"/>
      <c r="E70" s="117" t="s">
        <v>148</v>
      </c>
      <c r="F70" s="83">
        <f>G95</f>
        <v>9324</v>
      </c>
      <c r="G70" s="77">
        <f>C70+D70+F70-F73-F74-F78-F79-F80-F81-F82-F83-F84-F85-F86</f>
        <v>254936</v>
      </c>
      <c r="H70" s="173" t="s">
        <v>149</v>
      </c>
      <c r="I70" s="174"/>
      <c r="J70" s="174"/>
      <c r="L70" s="116">
        <v>254936</v>
      </c>
    </row>
    <row r="71" spans="2:12" ht="34.35" customHeight="1" thickBot="1" x14ac:dyDescent="0.3">
      <c r="B71" s="70" t="s">
        <v>2</v>
      </c>
      <c r="C71" s="71" t="s">
        <v>3</v>
      </c>
      <c r="D71" s="71" t="s">
        <v>21</v>
      </c>
      <c r="E71" s="72" t="s">
        <v>22</v>
      </c>
      <c r="F71" s="73" t="s">
        <v>29</v>
      </c>
      <c r="G71" s="18" t="s">
        <v>23</v>
      </c>
      <c r="H71" s="175"/>
      <c r="I71" s="176"/>
      <c r="J71" s="176"/>
    </row>
    <row r="72" spans="2:12" ht="26.25" thickBot="1" x14ac:dyDescent="0.3">
      <c r="B72" s="8" t="s">
        <v>44</v>
      </c>
      <c r="C72" s="10">
        <f>+C76</f>
        <v>22500</v>
      </c>
      <c r="D72" s="10">
        <v>0</v>
      </c>
      <c r="E72" s="14"/>
      <c r="F72" s="26">
        <f>SUM(F73:F76)</f>
        <v>532342</v>
      </c>
      <c r="G72" s="56">
        <f>SUM(C72+D72+F72)</f>
        <v>554842</v>
      </c>
      <c r="H72" s="158" t="s">
        <v>131</v>
      </c>
      <c r="I72" s="159"/>
      <c r="J72" s="159"/>
    </row>
    <row r="73" spans="2:12" ht="27" customHeight="1" thickBot="1" x14ac:dyDescent="0.3">
      <c r="B73" s="9" t="s">
        <v>98</v>
      </c>
      <c r="C73" s="123"/>
      <c r="D73" s="123"/>
      <c r="E73" s="117" t="s">
        <v>51</v>
      </c>
      <c r="F73" s="69">
        <f>195000+4300+38250+8076+350+2159+2985+870+40000+180+147+114+2000+357+100+80+200+934+65+100+12+160+122+80+150+600+7895+49405+959+90+64+160+80+11+143+254+337+1018+2536+317+150+770+19+761+649+381+560+159+244+59+4941+1030+98+778+320+4803+3500+60+29688+71+330+113297+100+1000+153</f>
        <v>524581</v>
      </c>
      <c r="G73" s="17">
        <f t="shared" ref="G73:G75" si="19">SUM(C73+D73+F73)</f>
        <v>524581</v>
      </c>
      <c r="H73" s="129" t="s">
        <v>53</v>
      </c>
      <c r="I73" s="129" t="s">
        <v>64</v>
      </c>
      <c r="J73" s="129" t="s">
        <v>132</v>
      </c>
    </row>
    <row r="74" spans="2:12" ht="26.25" thickBot="1" x14ac:dyDescent="0.3">
      <c r="B74" s="9" t="s">
        <v>106</v>
      </c>
      <c r="C74" s="123"/>
      <c r="D74" s="123"/>
      <c r="E74" s="117" t="s">
        <v>51</v>
      </c>
      <c r="F74" s="69"/>
      <c r="G74" s="77">
        <f t="shared" si="19"/>
        <v>0</v>
      </c>
      <c r="H74" s="130"/>
      <c r="I74" s="130"/>
      <c r="J74" s="130"/>
    </row>
    <row r="75" spans="2:12" ht="26.25" thickBot="1" x14ac:dyDescent="0.3">
      <c r="B75" s="9" t="s">
        <v>99</v>
      </c>
      <c r="C75" s="123"/>
      <c r="D75" s="123"/>
      <c r="E75" s="117" t="s">
        <v>152</v>
      </c>
      <c r="F75" s="69">
        <f>1354+2097+2927+1383</f>
        <v>7761</v>
      </c>
      <c r="G75" s="77">
        <f t="shared" si="19"/>
        <v>7761</v>
      </c>
      <c r="H75" s="130"/>
      <c r="I75" s="130"/>
      <c r="J75" s="130"/>
    </row>
    <row r="76" spans="2:12" ht="26.25" thickBot="1" x14ac:dyDescent="0.3">
      <c r="B76" s="9" t="s">
        <v>100</v>
      </c>
      <c r="C76" s="123">
        <v>22500</v>
      </c>
      <c r="D76" s="61"/>
      <c r="E76" s="117" t="s">
        <v>9</v>
      </c>
      <c r="F76" s="69">
        <v>0</v>
      </c>
      <c r="G76" s="77">
        <f>SUM(C76+D76+F76)</f>
        <v>22500</v>
      </c>
      <c r="H76" s="131"/>
      <c r="I76" s="131"/>
      <c r="J76" s="131"/>
    </row>
    <row r="77" spans="2:12" ht="26.25" thickBot="1" x14ac:dyDescent="0.3">
      <c r="B77" s="8" t="s">
        <v>57</v>
      </c>
      <c r="C77" s="10">
        <f>SUM(C79:C86)</f>
        <v>3460113</v>
      </c>
      <c r="D77" s="10">
        <f>SUM(D79:D86)</f>
        <v>122884</v>
      </c>
      <c r="E77" s="14"/>
      <c r="F77" s="10">
        <f>SUM(F78:F86)</f>
        <v>36632</v>
      </c>
      <c r="G77" s="56">
        <f>SUM(C77+D77+F77)</f>
        <v>3619629</v>
      </c>
      <c r="H77" s="62">
        <f>SUM(H79:H86)</f>
        <v>534963</v>
      </c>
      <c r="I77" s="65">
        <f>SUM(I79:I86)</f>
        <v>986196</v>
      </c>
      <c r="J77" s="65">
        <f>SUM(J79:J86)</f>
        <v>5140788</v>
      </c>
    </row>
    <row r="78" spans="2:12" ht="46.35" customHeight="1" thickBot="1" x14ac:dyDescent="0.3">
      <c r="B78" s="9" t="s">
        <v>52</v>
      </c>
      <c r="C78" s="123"/>
      <c r="D78" s="123"/>
      <c r="E78" s="126" t="s">
        <v>151</v>
      </c>
      <c r="F78" s="27"/>
      <c r="G78" s="17">
        <f t="shared" ref="G78:G86" si="20">C78+D78+F78</f>
        <v>0</v>
      </c>
      <c r="H78" s="63"/>
      <c r="I78" s="63"/>
      <c r="J78" s="64">
        <f>SUM(G78:I78)</f>
        <v>0</v>
      </c>
    </row>
    <row r="79" spans="2:12" ht="15" customHeight="1" thickBot="1" x14ac:dyDescent="0.3">
      <c r="B79" s="9" t="s">
        <v>157</v>
      </c>
      <c r="C79" s="123"/>
      <c r="D79" s="123"/>
      <c r="E79" s="127"/>
      <c r="F79" s="27"/>
      <c r="G79" s="17">
        <f t="shared" si="20"/>
        <v>0</v>
      </c>
      <c r="H79" s="63"/>
      <c r="I79" s="63"/>
      <c r="J79" s="64">
        <f>SUM(G79:I79)</f>
        <v>0</v>
      </c>
    </row>
    <row r="80" spans="2:12" ht="15.75" thickBot="1" x14ac:dyDescent="0.3">
      <c r="B80" s="9" t="s">
        <v>184</v>
      </c>
      <c r="C80" s="119"/>
      <c r="D80" s="123">
        <v>64990</v>
      </c>
      <c r="E80" s="127"/>
      <c r="F80" s="27"/>
      <c r="G80" s="77">
        <f t="shared" si="20"/>
        <v>64990</v>
      </c>
      <c r="H80" s="63"/>
      <c r="I80" s="63">
        <v>13672</v>
      </c>
      <c r="J80" s="64">
        <f t="shared" ref="J80:J86" si="21">SUM(G80:I80)</f>
        <v>78662</v>
      </c>
    </row>
    <row r="81" spans="2:14" ht="15.75" thickBot="1" x14ac:dyDescent="0.3">
      <c r="B81" s="9" t="s">
        <v>25</v>
      </c>
      <c r="C81" s="119">
        <f>90066+90752+62026</f>
        <v>242844</v>
      </c>
      <c r="D81" s="123">
        <f>3855+54039</f>
        <v>57894</v>
      </c>
      <c r="E81" s="127"/>
      <c r="F81" s="27">
        <f>204+770+35023</f>
        <v>35997</v>
      </c>
      <c r="G81" s="77">
        <f t="shared" si="20"/>
        <v>336735</v>
      </c>
      <c r="H81" s="63">
        <f>587654-90066-90036-90752</f>
        <v>316800</v>
      </c>
      <c r="I81" s="63">
        <f>35961+10220+202110</f>
        <v>248291</v>
      </c>
      <c r="J81" s="64">
        <f t="shared" si="21"/>
        <v>901826</v>
      </c>
    </row>
    <row r="82" spans="2:14" ht="15.75" thickBot="1" x14ac:dyDescent="0.3">
      <c r="B82" s="9" t="s">
        <v>62</v>
      </c>
      <c r="C82" s="123"/>
      <c r="D82" s="123"/>
      <c r="E82" s="127"/>
      <c r="F82" s="27"/>
      <c r="G82" s="77">
        <f t="shared" si="20"/>
        <v>0</v>
      </c>
      <c r="H82" s="63"/>
      <c r="I82" s="63"/>
      <c r="J82" s="64">
        <f t="shared" si="21"/>
        <v>0</v>
      </c>
    </row>
    <row r="83" spans="2:14" ht="15.75" thickBot="1" x14ac:dyDescent="0.3">
      <c r="B83" s="9" t="s">
        <v>156</v>
      </c>
      <c r="C83" s="123"/>
      <c r="D83" s="123"/>
      <c r="E83" s="127"/>
      <c r="F83" s="27"/>
      <c r="G83" s="77">
        <f t="shared" si="20"/>
        <v>0</v>
      </c>
      <c r="H83" s="63"/>
      <c r="I83" s="63"/>
      <c r="J83" s="64">
        <f t="shared" si="21"/>
        <v>0</v>
      </c>
    </row>
    <row r="84" spans="2:14" ht="15.75" thickBot="1" x14ac:dyDescent="0.3">
      <c r="B84" s="9" t="s">
        <v>195</v>
      </c>
      <c r="C84" s="123"/>
      <c r="D84" s="123"/>
      <c r="E84" s="127"/>
      <c r="F84" s="27">
        <v>635</v>
      </c>
      <c r="G84" s="77">
        <f t="shared" si="20"/>
        <v>635</v>
      </c>
      <c r="H84" s="63"/>
      <c r="I84" s="63"/>
      <c r="J84" s="64">
        <f t="shared" si="21"/>
        <v>635</v>
      </c>
    </row>
    <row r="85" spans="2:14" ht="15.75" thickBot="1" x14ac:dyDescent="0.3">
      <c r="B85" s="9" t="s">
        <v>27</v>
      </c>
      <c r="C85" s="123">
        <f>834535+535307+206476+873834+337050+430067</f>
        <v>3217269</v>
      </c>
      <c r="D85" s="123"/>
      <c r="E85" s="127"/>
      <c r="F85" s="27"/>
      <c r="G85" s="17">
        <f t="shared" si="20"/>
        <v>3217269</v>
      </c>
      <c r="H85" s="63">
        <f>2600895-873834-337050-430067-206476-535305</f>
        <v>218163</v>
      </c>
      <c r="I85" s="63">
        <f>174830+549403</f>
        <v>724233</v>
      </c>
      <c r="J85" s="64">
        <f t="shared" si="21"/>
        <v>4159665</v>
      </c>
    </row>
    <row r="86" spans="2:14" ht="15.75" thickBot="1" x14ac:dyDescent="0.3">
      <c r="B86" s="9" t="s">
        <v>135</v>
      </c>
      <c r="C86" s="123"/>
      <c r="D86" s="123"/>
      <c r="E86" s="128"/>
      <c r="F86" s="27"/>
      <c r="G86" s="17">
        <f t="shared" si="20"/>
        <v>0</v>
      </c>
      <c r="H86" s="63"/>
      <c r="I86" s="63"/>
      <c r="J86" s="64">
        <f t="shared" si="21"/>
        <v>0</v>
      </c>
    </row>
    <row r="87" spans="2:14" ht="16.350000000000001" customHeight="1" thickBot="1" x14ac:dyDescent="0.3">
      <c r="B87" s="181" t="s">
        <v>43</v>
      </c>
      <c r="C87" s="139" t="s">
        <v>56</v>
      </c>
      <c r="D87" s="139"/>
      <c r="E87" s="139"/>
      <c r="F87" s="139"/>
      <c r="G87" s="40">
        <f>G62</f>
        <v>1936785</v>
      </c>
      <c r="H87" s="193">
        <f>SUM(G87:G90)</f>
        <v>6509069</v>
      </c>
      <c r="I87" s="195" t="s">
        <v>141</v>
      </c>
      <c r="J87" s="195"/>
    </row>
    <row r="88" spans="2:14" ht="41.1" customHeight="1" thickBot="1" x14ac:dyDescent="0.3">
      <c r="B88" s="192"/>
      <c r="C88" s="139" t="s">
        <v>104</v>
      </c>
      <c r="D88" s="139"/>
      <c r="E88" s="139"/>
      <c r="F88" s="152"/>
      <c r="G88" s="40">
        <f>G66</f>
        <v>397813</v>
      </c>
      <c r="H88" s="194"/>
      <c r="I88" s="196"/>
      <c r="J88" s="196"/>
      <c r="M88" s="95"/>
      <c r="N88" s="95"/>
    </row>
    <row r="89" spans="2:14" ht="29.25" customHeight="1" thickBot="1" x14ac:dyDescent="0.3">
      <c r="B89" s="192"/>
      <c r="C89" s="139" t="s">
        <v>55</v>
      </c>
      <c r="D89" s="139"/>
      <c r="E89" s="139"/>
      <c r="F89" s="152"/>
      <c r="G89" s="40">
        <f>G72</f>
        <v>554842</v>
      </c>
      <c r="H89" s="194"/>
      <c r="I89" s="197"/>
      <c r="J89" s="197"/>
      <c r="L89" s="116">
        <v>6509069</v>
      </c>
    </row>
    <row r="90" spans="2:14" ht="20.25" customHeight="1" thickBot="1" x14ac:dyDescent="0.3">
      <c r="B90" s="169"/>
      <c r="C90" s="139" t="s">
        <v>60</v>
      </c>
      <c r="D90" s="139"/>
      <c r="E90" s="139"/>
      <c r="F90" s="139"/>
      <c r="G90" s="42">
        <f>G77</f>
        <v>3619629</v>
      </c>
      <c r="H90" s="194"/>
      <c r="I90" s="198">
        <f>G95</f>
        <v>9324</v>
      </c>
      <c r="J90" s="198"/>
      <c r="M90" s="95"/>
    </row>
    <row r="91" spans="2:14" ht="10.35" customHeight="1" x14ac:dyDescent="0.25">
      <c r="B91" s="5"/>
      <c r="C91" s="13"/>
      <c r="D91" s="13"/>
      <c r="E91" s="13"/>
      <c r="F91" s="28"/>
      <c r="G91" s="16"/>
      <c r="H91" s="13"/>
      <c r="I91" s="13"/>
      <c r="J91" s="28"/>
    </row>
    <row r="92" spans="2:14" ht="9" customHeight="1" thickBot="1" x14ac:dyDescent="0.3">
      <c r="B92" s="5"/>
      <c r="C92" s="13"/>
      <c r="D92" s="13"/>
      <c r="E92" s="13"/>
      <c r="F92" s="28"/>
      <c r="G92" s="16"/>
      <c r="H92" s="13"/>
      <c r="I92" s="13"/>
      <c r="J92" s="28"/>
    </row>
    <row r="93" spans="2:14" ht="25.35" customHeight="1" thickBot="1" x14ac:dyDescent="0.3">
      <c r="B93" s="177" t="s">
        <v>196</v>
      </c>
      <c r="C93" s="177"/>
      <c r="D93" s="177"/>
      <c r="E93" s="177"/>
      <c r="F93" s="177"/>
      <c r="G93" s="177"/>
      <c r="H93" s="177"/>
      <c r="I93" s="177"/>
      <c r="J93" s="177"/>
    </row>
    <row r="94" spans="2:14" ht="45.75" thickBot="1" x14ac:dyDescent="0.3">
      <c r="B94" s="7" t="s">
        <v>32</v>
      </c>
      <c r="C94" s="38" t="s">
        <v>20</v>
      </c>
      <c r="D94" s="37" t="s">
        <v>58</v>
      </c>
      <c r="E94" s="37" t="s">
        <v>39</v>
      </c>
      <c r="F94" s="39" t="s">
        <v>37</v>
      </c>
      <c r="G94" s="39" t="s">
        <v>103</v>
      </c>
      <c r="H94" s="32"/>
      <c r="I94" s="32"/>
      <c r="J94" s="32"/>
      <c r="M94" s="96"/>
    </row>
    <row r="95" spans="2:14" ht="48.75" thickBot="1" x14ac:dyDescent="0.3">
      <c r="B95" s="59" t="s">
        <v>108</v>
      </c>
      <c r="C95" s="122" t="s">
        <v>10</v>
      </c>
      <c r="D95" s="75">
        <v>85000</v>
      </c>
      <c r="E95" s="23">
        <f>F17+F18+F19+F20+F22+F23+F29+F30+F32+F35+F36+F37+F38</f>
        <v>91063</v>
      </c>
      <c r="F95" s="19">
        <f>D95-E95</f>
        <v>-6063</v>
      </c>
      <c r="G95" s="140">
        <f>F95+F96+F99</f>
        <v>9324</v>
      </c>
      <c r="H95" s="33"/>
      <c r="I95" s="33"/>
      <c r="J95" s="33"/>
    </row>
    <row r="96" spans="2:14" ht="27.75" customHeight="1" thickBot="1" x14ac:dyDescent="0.3">
      <c r="B96" s="22" t="s">
        <v>109</v>
      </c>
      <c r="C96" s="190" t="s">
        <v>9</v>
      </c>
      <c r="D96" s="119">
        <f>150000-85000</f>
        <v>65000</v>
      </c>
      <c r="E96" s="190">
        <f>F9+F10+F12+F14+F15+F24+F25+F26+F28+F33+F41+F42+F43+F44+F53+F54+F55+F56+F58+F59+F60+F61+F67+F76+F69</f>
        <v>596113</v>
      </c>
      <c r="F96" s="190">
        <f>D96+D97+D98+D99+D100-E96</f>
        <v>15387</v>
      </c>
      <c r="G96" s="141"/>
      <c r="H96" s="33"/>
      <c r="I96" s="33"/>
      <c r="J96" s="33"/>
    </row>
    <row r="97" spans="2:10" ht="15.75" thickBot="1" x14ac:dyDescent="0.3">
      <c r="B97" s="22" t="s">
        <v>126</v>
      </c>
      <c r="C97" s="191"/>
      <c r="D97" s="119">
        <v>210000</v>
      </c>
      <c r="E97" s="206"/>
      <c r="F97" s="206"/>
      <c r="G97" s="141"/>
      <c r="H97" s="33"/>
      <c r="I97" s="33"/>
      <c r="J97" s="33"/>
    </row>
    <row r="98" spans="2:10" ht="15.75" thickBot="1" x14ac:dyDescent="0.3">
      <c r="B98" s="22" t="s">
        <v>125</v>
      </c>
      <c r="C98" s="191"/>
      <c r="D98" s="119">
        <v>330000</v>
      </c>
      <c r="E98" s="206"/>
      <c r="F98" s="206"/>
      <c r="G98" s="141"/>
      <c r="H98" s="33"/>
      <c r="I98" s="33"/>
      <c r="J98" s="33"/>
    </row>
    <row r="99" spans="2:10" ht="15.75" thickBot="1" x14ac:dyDescent="0.3">
      <c r="B99" s="22" t="s">
        <v>110</v>
      </c>
      <c r="C99" s="190" t="s">
        <v>19</v>
      </c>
      <c r="D99" s="123">
        <v>1500</v>
      </c>
      <c r="E99" s="206"/>
      <c r="F99" s="206"/>
      <c r="G99" s="141"/>
      <c r="H99" s="33"/>
      <c r="I99" s="33"/>
      <c r="J99" s="33"/>
    </row>
    <row r="100" spans="2:10" ht="15.75" thickBot="1" x14ac:dyDescent="0.3">
      <c r="B100" s="22" t="s">
        <v>31</v>
      </c>
      <c r="C100" s="191"/>
      <c r="D100" s="123">
        <v>5000</v>
      </c>
      <c r="E100" s="205"/>
      <c r="F100" s="205"/>
      <c r="G100" s="141"/>
      <c r="H100" s="33"/>
      <c r="I100" s="33"/>
      <c r="J100" s="33"/>
    </row>
    <row r="101" spans="2:10" ht="30.6" customHeight="1" thickBot="1" x14ac:dyDescent="0.3">
      <c r="B101" s="189" t="s">
        <v>63</v>
      </c>
      <c r="C101" s="189"/>
      <c r="D101" s="85">
        <f>SUM(D95:D100)</f>
        <v>696500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406070</v>
      </c>
      <c r="F103" s="133" t="s">
        <v>137</v>
      </c>
      <c r="G103" s="134"/>
      <c r="H103" s="134"/>
      <c r="I103" s="134"/>
      <c r="J103" s="134"/>
    </row>
    <row r="104" spans="2:10" ht="15.75" thickBot="1" x14ac:dyDescent="0.3">
      <c r="B104" s="148" t="s">
        <v>112</v>
      </c>
      <c r="C104" s="148"/>
      <c r="D104" s="148"/>
      <c r="E104" s="57">
        <f>G11</f>
        <v>271077</v>
      </c>
      <c r="F104" s="135"/>
      <c r="G104" s="136"/>
      <c r="H104" s="136"/>
      <c r="I104" s="136"/>
      <c r="J104" s="136"/>
    </row>
    <row r="105" spans="2:10" ht="15.75" thickBot="1" x14ac:dyDescent="0.3">
      <c r="B105" s="148" t="s">
        <v>113</v>
      </c>
      <c r="C105" s="148"/>
      <c r="D105" s="148"/>
      <c r="E105" s="57">
        <f>G16</f>
        <v>561761</v>
      </c>
      <c r="F105" s="135"/>
      <c r="G105" s="136"/>
      <c r="H105" s="136"/>
      <c r="I105" s="136"/>
      <c r="J105" s="136"/>
    </row>
    <row r="106" spans="2:10" ht="31.35" customHeight="1" thickBot="1" x14ac:dyDescent="0.3">
      <c r="B106" s="148" t="s">
        <v>114</v>
      </c>
      <c r="C106" s="148"/>
      <c r="D106" s="148"/>
      <c r="E106" s="57">
        <f>G21</f>
        <v>141564</v>
      </c>
      <c r="F106" s="135"/>
      <c r="G106" s="136"/>
      <c r="H106" s="136"/>
      <c r="I106" s="136"/>
      <c r="J106" s="136"/>
    </row>
    <row r="107" spans="2:10" ht="15.75" thickBot="1" x14ac:dyDescent="0.3">
      <c r="B107" s="148" t="s">
        <v>115</v>
      </c>
      <c r="C107" s="148"/>
      <c r="D107" s="148"/>
      <c r="E107" s="57">
        <f>G27</f>
        <v>45147</v>
      </c>
      <c r="F107" s="137"/>
      <c r="G107" s="138"/>
      <c r="H107" s="138"/>
      <c r="I107" s="138"/>
      <c r="J107" s="138"/>
    </row>
    <row r="108" spans="2:10" ht="15.75" thickBot="1" x14ac:dyDescent="0.3">
      <c r="B108" s="148" t="s">
        <v>116</v>
      </c>
      <c r="C108" s="148"/>
      <c r="D108" s="148"/>
      <c r="E108" s="57">
        <f>G31</f>
        <v>279956</v>
      </c>
      <c r="F108" s="132" t="s">
        <v>185</v>
      </c>
      <c r="G108" s="132"/>
      <c r="H108" s="132"/>
      <c r="I108" s="132"/>
      <c r="J108" s="132"/>
    </row>
    <row r="109" spans="2:10" ht="33" customHeight="1" thickBot="1" x14ac:dyDescent="0.3">
      <c r="B109" s="148" t="s">
        <v>117</v>
      </c>
      <c r="C109" s="148"/>
      <c r="D109" s="148"/>
      <c r="E109" s="57">
        <f>G34</f>
        <v>31913</v>
      </c>
      <c r="F109" s="151" t="s">
        <v>121</v>
      </c>
      <c r="G109" s="149"/>
      <c r="H109" s="149"/>
      <c r="I109" s="150">
        <f>E113</f>
        <v>1936785</v>
      </c>
      <c r="J109" s="150"/>
    </row>
    <row r="110" spans="2:10" ht="15.75" thickBot="1" x14ac:dyDescent="0.3">
      <c r="B110" s="148" t="s">
        <v>118</v>
      </c>
      <c r="C110" s="148"/>
      <c r="D110" s="148"/>
      <c r="E110" s="57">
        <f>G40</f>
        <v>161925</v>
      </c>
      <c r="F110" s="149" t="s">
        <v>122</v>
      </c>
      <c r="G110" s="149"/>
      <c r="H110" s="149"/>
      <c r="I110" s="150">
        <f>G66</f>
        <v>397813</v>
      </c>
      <c r="J110" s="150"/>
    </row>
    <row r="111" spans="2:10" ht="26.45" customHeight="1" thickBot="1" x14ac:dyDescent="0.3">
      <c r="B111" s="148" t="s">
        <v>119</v>
      </c>
      <c r="C111" s="148"/>
      <c r="D111" s="148"/>
      <c r="E111" s="57">
        <f>G52</f>
        <v>25372</v>
      </c>
      <c r="F111" s="149" t="s">
        <v>123</v>
      </c>
      <c r="G111" s="149"/>
      <c r="H111" s="149"/>
      <c r="I111" s="150">
        <f>G72</f>
        <v>554842</v>
      </c>
      <c r="J111" s="150"/>
    </row>
    <row r="112" spans="2:10" ht="29.1" customHeight="1" thickBot="1" x14ac:dyDescent="0.3">
      <c r="B112" s="148" t="s">
        <v>120</v>
      </c>
      <c r="C112" s="148"/>
      <c r="D112" s="148"/>
      <c r="E112" s="57">
        <f>G57</f>
        <v>12000</v>
      </c>
      <c r="F112" s="149" t="s">
        <v>124</v>
      </c>
      <c r="G112" s="149"/>
      <c r="H112" s="149"/>
      <c r="I112" s="150">
        <f>G77</f>
        <v>3619629</v>
      </c>
      <c r="J112" s="150"/>
    </row>
    <row r="113" spans="2:10" ht="15.75" thickBot="1" x14ac:dyDescent="0.3">
      <c r="B113" s="142" t="s">
        <v>30</v>
      </c>
      <c r="C113" s="142"/>
      <c r="D113" s="142"/>
      <c r="E113" s="58">
        <f>SUM(E103:E112)</f>
        <v>1936785</v>
      </c>
      <c r="F113" s="143" t="s">
        <v>54</v>
      </c>
      <c r="G113" s="143"/>
      <c r="H113" s="143"/>
      <c r="I113" s="144">
        <f>SUM(I109:J112)</f>
        <v>6509069</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2">
    <mergeCell ref="B2:J2"/>
    <mergeCell ref="B3:J3"/>
    <mergeCell ref="B4:B6"/>
    <mergeCell ref="C4:I4"/>
    <mergeCell ref="C5:H5"/>
    <mergeCell ref="I5:J5"/>
    <mergeCell ref="C6:F6"/>
    <mergeCell ref="G6:I6"/>
    <mergeCell ref="H70:J71"/>
    <mergeCell ref="E13:F13"/>
    <mergeCell ref="C41:C44"/>
    <mergeCell ref="B47:J47"/>
    <mergeCell ref="B48:B50"/>
    <mergeCell ref="C48:I48"/>
    <mergeCell ref="C49:H49"/>
    <mergeCell ref="I49:J49"/>
    <mergeCell ref="C50:F50"/>
    <mergeCell ref="G50:I50"/>
    <mergeCell ref="B63:F63"/>
    <mergeCell ref="H63:J63"/>
    <mergeCell ref="C64:F64"/>
    <mergeCell ref="G64:J64"/>
    <mergeCell ref="H65:J69"/>
    <mergeCell ref="H72:J72"/>
    <mergeCell ref="H73:H76"/>
    <mergeCell ref="I73:I76"/>
    <mergeCell ref="J73:J76"/>
    <mergeCell ref="E78:E86"/>
    <mergeCell ref="C89:F89"/>
    <mergeCell ref="C90:F90"/>
    <mergeCell ref="I90:J90"/>
    <mergeCell ref="B93:J93"/>
    <mergeCell ref="G95:G100"/>
    <mergeCell ref="C96:C98"/>
    <mergeCell ref="E96:E100"/>
    <mergeCell ref="F96:F100"/>
    <mergeCell ref="C99:C100"/>
    <mergeCell ref="B87:B90"/>
    <mergeCell ref="C87:F87"/>
    <mergeCell ref="H87:H90"/>
    <mergeCell ref="I87:J89"/>
    <mergeCell ref="C88:F88"/>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scale="95" fitToHeight="0" orientation="portrait" r:id="rId1"/>
  <rowBreaks count="2" manualBreakCount="2">
    <brk id="45" max="10" man="1"/>
    <brk id="91" max="10"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B1:N960"/>
  <sheetViews>
    <sheetView tabSelected="1" topLeftCell="B1" zoomScaleNormal="100" zoomScaleSheetLayoutView="158" workbookViewId="0">
      <selection activeCell="O21" sqref="O21"/>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30.28515625" style="4" bestFit="1" customWidth="1"/>
    <col min="9"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8" t="s">
        <v>147</v>
      </c>
      <c r="C2" s="188"/>
      <c r="D2" s="188"/>
      <c r="E2" s="188"/>
      <c r="F2" s="188"/>
      <c r="G2" s="188"/>
      <c r="H2" s="188"/>
      <c r="I2" s="188"/>
      <c r="J2" s="188"/>
    </row>
    <row r="3" spans="2:12" ht="18.75" customHeight="1" thickBot="1" x14ac:dyDescent="0.3">
      <c r="B3" s="177" t="s">
        <v>197</v>
      </c>
      <c r="C3" s="177"/>
      <c r="D3" s="177"/>
      <c r="E3" s="177"/>
      <c r="F3" s="177"/>
      <c r="G3" s="177"/>
      <c r="H3" s="177"/>
      <c r="I3" s="177"/>
      <c r="J3" s="177"/>
    </row>
    <row r="4" spans="2:12" x14ac:dyDescent="0.25">
      <c r="B4" s="178" t="s">
        <v>153</v>
      </c>
      <c r="C4" s="181" t="s">
        <v>24</v>
      </c>
      <c r="D4" s="181"/>
      <c r="E4" s="181"/>
      <c r="F4" s="181"/>
      <c r="G4" s="181"/>
      <c r="H4" s="181"/>
      <c r="I4" s="181"/>
      <c r="J4" s="24"/>
    </row>
    <row r="5" spans="2:12" x14ac:dyDescent="0.25">
      <c r="B5" s="179"/>
      <c r="C5" s="182"/>
      <c r="D5" s="182"/>
      <c r="E5" s="182"/>
      <c r="F5" s="182"/>
      <c r="G5" s="182"/>
      <c r="H5" s="182"/>
      <c r="I5" s="183" t="s">
        <v>5</v>
      </c>
      <c r="J5" s="183"/>
    </row>
    <row r="6" spans="2:12" ht="15.75" thickBot="1" x14ac:dyDescent="0.3">
      <c r="B6" s="180"/>
      <c r="C6" s="169" t="s">
        <v>7</v>
      </c>
      <c r="D6" s="169"/>
      <c r="E6" s="169"/>
      <c r="F6" s="169"/>
      <c r="G6" s="170" t="s">
        <v>8</v>
      </c>
      <c r="H6" s="170"/>
      <c r="I6" s="170"/>
      <c r="J6" s="25"/>
    </row>
    <row r="7" spans="2:12" ht="45.75" thickBot="1" x14ac:dyDescent="0.3">
      <c r="B7" s="7" t="s">
        <v>2</v>
      </c>
      <c r="C7" s="34" t="s">
        <v>3</v>
      </c>
      <c r="D7" s="34" t="s">
        <v>21</v>
      </c>
      <c r="E7" s="35" t="s">
        <v>22</v>
      </c>
      <c r="F7" s="36" t="s">
        <v>29</v>
      </c>
      <c r="G7" s="18" t="s">
        <v>23</v>
      </c>
      <c r="H7" s="37" t="s">
        <v>4</v>
      </c>
      <c r="I7" s="37" t="s">
        <v>6</v>
      </c>
      <c r="J7" s="112" t="s">
        <v>134</v>
      </c>
    </row>
    <row r="8" spans="2:12" ht="26.25" thickBot="1" x14ac:dyDescent="0.3">
      <c r="B8" s="8" t="s">
        <v>11</v>
      </c>
      <c r="C8" s="10">
        <f>SUM(C9:C10)</f>
        <v>179673</v>
      </c>
      <c r="D8" s="10">
        <f>SUM(D9:D10)</f>
        <v>49184</v>
      </c>
      <c r="E8" s="14"/>
      <c r="F8" s="26">
        <f>G8-C8-D8</f>
        <v>190535</v>
      </c>
      <c r="G8" s="56">
        <f t="shared" ref="G8:G20" si="0">H8+I8</f>
        <v>419392</v>
      </c>
      <c r="H8" s="10">
        <f>SUM(H9:H10)</f>
        <v>409508</v>
      </c>
      <c r="I8" s="10">
        <f t="shared" ref="I8:J8" si="1">SUM(I9:I10)</f>
        <v>9884</v>
      </c>
      <c r="J8" s="79">
        <f t="shared" si="1"/>
        <v>0</v>
      </c>
    </row>
    <row r="9" spans="2:12" ht="36.75" thickBot="1" x14ac:dyDescent="0.3">
      <c r="B9" s="9" t="s">
        <v>66</v>
      </c>
      <c r="C9" s="111">
        <f>147463+1080+11885</f>
        <v>160428</v>
      </c>
      <c r="D9" s="111">
        <f>2500+10000+800+487+20380-16320+371-1+73+145+300+400+218+873+364+200</f>
        <v>20790</v>
      </c>
      <c r="E9" s="109" t="s">
        <v>192</v>
      </c>
      <c r="F9" s="27">
        <f>G9-C9-D9</f>
        <v>174525</v>
      </c>
      <c r="G9" s="77">
        <f t="shared" si="0"/>
        <v>355743</v>
      </c>
      <c r="H9" s="111">
        <f>326972+2000+309+380+500+230+270+370+328+42+73+129+16+300+400+193+25+873+10518+1367+364+200</f>
        <v>345859</v>
      </c>
      <c r="I9" s="111">
        <v>9884</v>
      </c>
      <c r="J9" s="80"/>
      <c r="L9" s="116">
        <v>355743</v>
      </c>
    </row>
    <row r="10" spans="2:12" ht="27" customHeight="1" thickBot="1" x14ac:dyDescent="0.3">
      <c r="B10" s="9" t="s">
        <v>67</v>
      </c>
      <c r="C10" s="115">
        <f>7342+5350+6553</f>
        <v>19245</v>
      </c>
      <c r="D10" s="111">
        <f>314+5549+2500+19970+43+18</f>
        <v>28394</v>
      </c>
      <c r="E10" s="109" t="s">
        <v>9</v>
      </c>
      <c r="F10" s="27">
        <f>G10-C10-D10</f>
        <v>16010</v>
      </c>
      <c r="G10" s="17">
        <f t="shared" si="0"/>
        <v>63649</v>
      </c>
      <c r="H10" s="111">
        <f>51670+7036+1632+1018+43+18+311+1921</f>
        <v>63649</v>
      </c>
      <c r="I10" s="111"/>
      <c r="J10" s="80"/>
      <c r="L10" s="108"/>
    </row>
    <row r="11" spans="2:12" ht="26.25" thickBot="1" x14ac:dyDescent="0.3">
      <c r="B11" s="8" t="s">
        <v>12</v>
      </c>
      <c r="C11" s="10">
        <f>SUM(C12:C15)</f>
        <v>17645</v>
      </c>
      <c r="D11" s="10">
        <f>SUM(D12:D15)</f>
        <v>190985</v>
      </c>
      <c r="E11" s="14"/>
      <c r="F11" s="26">
        <f>G11-C11-D11</f>
        <v>68521</v>
      </c>
      <c r="G11" s="56">
        <f t="shared" si="0"/>
        <v>277151</v>
      </c>
      <c r="H11" s="10">
        <f>SUM(H12:H15)</f>
        <v>277151</v>
      </c>
      <c r="I11" s="10">
        <f t="shared" ref="I11:J11" si="2">SUM(I12:I15)</f>
        <v>0</v>
      </c>
      <c r="J11" s="79">
        <f t="shared" si="2"/>
        <v>0</v>
      </c>
      <c r="L11" s="108"/>
    </row>
    <row r="12" spans="2:12" ht="26.25" thickBot="1" x14ac:dyDescent="0.3">
      <c r="B12" s="9" t="s">
        <v>101</v>
      </c>
      <c r="C12" s="111">
        <f>16635+1010</f>
        <v>17645</v>
      </c>
      <c r="D12" s="111">
        <f>42+20+6+81+22+12+227+61+6226+4500+313</f>
        <v>11510</v>
      </c>
      <c r="E12" s="109" t="s">
        <v>9</v>
      </c>
      <c r="F12" s="27">
        <f>G12-C12-D12-(D13-H13)</f>
        <v>27620</v>
      </c>
      <c r="G12" s="17">
        <f t="shared" si="0"/>
        <v>73182</v>
      </c>
      <c r="H12" s="115">
        <f>12427+27162+4662+3048+6000+75+235+225+221+351+400+45+12+20+6+81+22+227+61+6226+505+166+480+53+655+980+416+748+92+65+400+797+195+1285+339+4500</f>
        <v>73182</v>
      </c>
      <c r="I12" s="115"/>
      <c r="J12" s="80"/>
      <c r="L12" s="108"/>
    </row>
    <row r="13" spans="2:12" ht="36.75" customHeight="1" thickBot="1" x14ac:dyDescent="0.3">
      <c r="B13" s="9" t="s">
        <v>102</v>
      </c>
      <c r="C13" s="115"/>
      <c r="D13" s="111">
        <f>12087-6186+2993+19190+6080</f>
        <v>34164</v>
      </c>
      <c r="E13" s="186" t="s">
        <v>138</v>
      </c>
      <c r="F13" s="187"/>
      <c r="G13" s="17">
        <f t="shared" si="0"/>
        <v>17757</v>
      </c>
      <c r="H13" s="111">
        <f>6186+10994-3156+6080-2347</f>
        <v>17757</v>
      </c>
      <c r="I13" s="115"/>
      <c r="J13" s="80"/>
      <c r="L13" s="108"/>
    </row>
    <row r="14" spans="2:12" ht="15.75" thickBot="1" x14ac:dyDescent="0.3">
      <c r="B14" s="9" t="s">
        <v>68</v>
      </c>
      <c r="C14" s="115"/>
      <c r="D14" s="115"/>
      <c r="E14" s="109" t="s">
        <v>9</v>
      </c>
      <c r="F14" s="27">
        <f>G14-C14-D14</f>
        <v>40901</v>
      </c>
      <c r="G14" s="17">
        <f t="shared" si="0"/>
        <v>40901</v>
      </c>
      <c r="H14" s="111">
        <f>43802-2901</f>
        <v>40901</v>
      </c>
      <c r="I14" s="115"/>
      <c r="J14" s="80"/>
      <c r="L14" s="108"/>
    </row>
    <row r="15" spans="2:12" ht="15.75" thickBot="1" x14ac:dyDescent="0.3">
      <c r="B15" s="9" t="s">
        <v>193</v>
      </c>
      <c r="C15" s="115"/>
      <c r="D15" s="115">
        <f>30498+114813</f>
        <v>145311</v>
      </c>
      <c r="E15" s="109" t="s">
        <v>9</v>
      </c>
      <c r="F15" s="27">
        <f>G15-C15-D15</f>
        <v>0</v>
      </c>
      <c r="G15" s="17">
        <f t="shared" si="0"/>
        <v>145311</v>
      </c>
      <c r="H15" s="115">
        <f>30498+114813</f>
        <v>145311</v>
      </c>
      <c r="I15" s="115"/>
      <c r="J15" s="80"/>
      <c r="L15" s="108"/>
    </row>
    <row r="16" spans="2:12" ht="26.25" thickBot="1" x14ac:dyDescent="0.3">
      <c r="B16" s="8" t="s">
        <v>13</v>
      </c>
      <c r="C16" s="10">
        <f>SUM(C17:C20)</f>
        <v>470958</v>
      </c>
      <c r="D16" s="10">
        <f>SUM(D17:D20)</f>
        <v>55097</v>
      </c>
      <c r="E16" s="14"/>
      <c r="F16" s="26">
        <f>G16-C16-D16</f>
        <v>38223</v>
      </c>
      <c r="G16" s="56">
        <f t="shared" si="0"/>
        <v>564278</v>
      </c>
      <c r="H16" s="10">
        <f>SUM(H17:H20)</f>
        <v>553415</v>
      </c>
      <c r="I16" s="10">
        <f>SUM(I17:I20)</f>
        <v>10863</v>
      </c>
      <c r="J16" s="79">
        <f>SUM(J17:J20)</f>
        <v>49927</v>
      </c>
      <c r="L16" s="108"/>
    </row>
    <row r="17" spans="2:12" ht="15.75" thickBot="1" x14ac:dyDescent="0.3">
      <c r="B17" s="9" t="s">
        <v>69</v>
      </c>
      <c r="C17" s="111">
        <f>221205+7821+9723+41835+73752+1962+52</f>
        <v>356350</v>
      </c>
      <c r="D17" s="115"/>
      <c r="E17" s="109" t="s">
        <v>10</v>
      </c>
      <c r="F17" s="27">
        <f>G17-C17-D17</f>
        <v>2233</v>
      </c>
      <c r="G17" s="17">
        <f t="shared" si="0"/>
        <v>358583</v>
      </c>
      <c r="H17" s="111">
        <f>338669+6534+555+1736+226</f>
        <v>347720</v>
      </c>
      <c r="I17" s="111">
        <v>10863</v>
      </c>
      <c r="J17" s="80"/>
      <c r="L17" s="116">
        <v>420693</v>
      </c>
    </row>
    <row r="18" spans="2:12" ht="32.1" customHeight="1" thickBot="1" x14ac:dyDescent="0.3">
      <c r="B18" s="9" t="s">
        <v>189</v>
      </c>
      <c r="C18" s="111">
        <v>38960</v>
      </c>
      <c r="D18" s="111">
        <f>11085</f>
        <v>11085</v>
      </c>
      <c r="E18" s="109" t="s">
        <v>10</v>
      </c>
      <c r="F18" s="27">
        <f>G18-C18-D18</f>
        <v>12065</v>
      </c>
      <c r="G18" s="17">
        <f t="shared" si="0"/>
        <v>62110</v>
      </c>
      <c r="H18" s="111">
        <f>62110</f>
        <v>62110</v>
      </c>
      <c r="I18" s="111"/>
      <c r="J18" s="80"/>
      <c r="L18" s="108"/>
    </row>
    <row r="19" spans="2:12" ht="26.25" thickBot="1" x14ac:dyDescent="0.3">
      <c r="B19" s="9" t="s">
        <v>71</v>
      </c>
      <c r="C19" s="111">
        <v>75648</v>
      </c>
      <c r="D19" s="111">
        <f>35056+5663+3293</f>
        <v>44012</v>
      </c>
      <c r="E19" s="109" t="s">
        <v>10</v>
      </c>
      <c r="F19" s="69">
        <f t="shared" ref="F19:F20" si="3">G19-C19-D19</f>
        <v>23925</v>
      </c>
      <c r="G19" s="17">
        <f t="shared" si="0"/>
        <v>143585</v>
      </c>
      <c r="H19" s="111">
        <f>87439+23609+23026+6218+3293</f>
        <v>143585</v>
      </c>
      <c r="I19" s="111"/>
      <c r="J19" s="80"/>
    </row>
    <row r="20" spans="2:12" ht="39" thickBot="1" x14ac:dyDescent="0.3">
      <c r="B20" s="9" t="s">
        <v>130</v>
      </c>
      <c r="C20" s="115"/>
      <c r="D20" s="115"/>
      <c r="E20" s="109" t="s">
        <v>10</v>
      </c>
      <c r="F20" s="27">
        <f t="shared" si="3"/>
        <v>0</v>
      </c>
      <c r="G20" s="17">
        <f t="shared" si="0"/>
        <v>0</v>
      </c>
      <c r="H20" s="111"/>
      <c r="I20" s="111"/>
      <c r="J20" s="102">
        <f>41329+8598</f>
        <v>49927</v>
      </c>
    </row>
    <row r="21" spans="2:12" ht="36.6" customHeight="1" thickBot="1" x14ac:dyDescent="0.3">
      <c r="B21" s="8" t="s">
        <v>38</v>
      </c>
      <c r="C21" s="10">
        <f>SUM(C22:C26)</f>
        <v>12549</v>
      </c>
      <c r="D21" s="10">
        <f>SUM(D22:D26)</f>
        <v>0</v>
      </c>
      <c r="E21" s="14"/>
      <c r="F21" s="26">
        <f>G21-C21-D21</f>
        <v>129015</v>
      </c>
      <c r="G21" s="56">
        <f>H21+I21</f>
        <v>141564</v>
      </c>
      <c r="H21" s="10">
        <f>SUM(H22:H26)</f>
        <v>0</v>
      </c>
      <c r="I21" s="10">
        <f>SUM(I22:I26)</f>
        <v>141564</v>
      </c>
      <c r="J21" s="79">
        <f>SUM(J22:J26)</f>
        <v>35518</v>
      </c>
    </row>
    <row r="22" spans="2:12" ht="15.75" thickBot="1" x14ac:dyDescent="0.3">
      <c r="B22" s="41" t="s">
        <v>72</v>
      </c>
      <c r="C22" s="111">
        <v>2302</v>
      </c>
      <c r="D22" s="115"/>
      <c r="E22" s="109" t="s">
        <v>10</v>
      </c>
      <c r="F22" s="27">
        <f>G22-C22-D22</f>
        <v>2819</v>
      </c>
      <c r="G22" s="17">
        <f>H22+I22</f>
        <v>5121</v>
      </c>
      <c r="H22" s="111"/>
      <c r="I22" s="111">
        <v>5121</v>
      </c>
      <c r="J22" s="102">
        <v>3160</v>
      </c>
    </row>
    <row r="23" spans="2:12" ht="26.25" thickBot="1" x14ac:dyDescent="0.3">
      <c r="B23" s="41" t="s">
        <v>73</v>
      </c>
      <c r="C23" s="111">
        <f>9477+770</f>
        <v>10247</v>
      </c>
      <c r="D23" s="115"/>
      <c r="E23" s="109" t="s">
        <v>10</v>
      </c>
      <c r="F23" s="27">
        <f>G23-C23-D23</f>
        <v>23540</v>
      </c>
      <c r="G23" s="17">
        <f>H23+I23</f>
        <v>33787</v>
      </c>
      <c r="H23" s="111"/>
      <c r="I23" s="111">
        <v>33787</v>
      </c>
      <c r="J23" s="102">
        <v>4678</v>
      </c>
    </row>
    <row r="24" spans="2:12" ht="15.75" thickBot="1" x14ac:dyDescent="0.3">
      <c r="B24" s="41" t="s">
        <v>74</v>
      </c>
      <c r="C24" s="115"/>
      <c r="D24" s="115"/>
      <c r="E24" s="109" t="s">
        <v>9</v>
      </c>
      <c r="F24" s="27">
        <f>G24-C24-D24</f>
        <v>6953</v>
      </c>
      <c r="G24" s="17">
        <f>H24+I24</f>
        <v>6953</v>
      </c>
      <c r="H24" s="111"/>
      <c r="I24" s="111">
        <v>6953</v>
      </c>
      <c r="J24" s="102"/>
    </row>
    <row r="25" spans="2:12" ht="39" thickBot="1" x14ac:dyDescent="0.3">
      <c r="B25" s="41" t="s">
        <v>127</v>
      </c>
      <c r="C25" s="115"/>
      <c r="D25" s="115"/>
      <c r="E25" s="109" t="s">
        <v>9</v>
      </c>
      <c r="F25" s="27">
        <f t="shared" ref="F25:F26" si="4">G25-C25-D25</f>
        <v>89254</v>
      </c>
      <c r="G25" s="17">
        <f>H25+I25</f>
        <v>89254</v>
      </c>
      <c r="H25" s="111"/>
      <c r="I25" s="111">
        <f>21597+7721+4098+12386+6648-375+11742+19045+5354+2530-1492</f>
        <v>89254</v>
      </c>
      <c r="J25" s="103">
        <f>440+4107+9380+6609</f>
        <v>20536</v>
      </c>
    </row>
    <row r="26" spans="2:12" ht="26.25" thickBot="1" x14ac:dyDescent="0.3">
      <c r="B26" s="41" t="s">
        <v>75</v>
      </c>
      <c r="C26" s="115"/>
      <c r="D26" s="115"/>
      <c r="E26" s="109" t="s">
        <v>9</v>
      </c>
      <c r="F26" s="27">
        <f t="shared" si="4"/>
        <v>6449</v>
      </c>
      <c r="G26" s="17">
        <f t="shared" ref="G26" si="5">H26+I26</f>
        <v>6449</v>
      </c>
      <c r="H26" s="115"/>
      <c r="I26" s="115">
        <f>1237+5212</f>
        <v>6449</v>
      </c>
      <c r="J26" s="102">
        <f>4510+2634</f>
        <v>7144</v>
      </c>
    </row>
    <row r="27" spans="2:12" ht="15.75" thickBot="1" x14ac:dyDescent="0.3">
      <c r="B27" s="8" t="s">
        <v>14</v>
      </c>
      <c r="C27" s="10">
        <f>SUM(C28:C30)</f>
        <v>26665</v>
      </c>
      <c r="D27" s="10">
        <f>SUM(D28:D30)</f>
        <v>0</v>
      </c>
      <c r="E27" s="14"/>
      <c r="F27" s="26">
        <f>G27-C27-D27</f>
        <v>18482</v>
      </c>
      <c r="G27" s="56">
        <f>H27+I27</f>
        <v>45147</v>
      </c>
      <c r="H27" s="10">
        <f>SUM(H28:H30)</f>
        <v>23781</v>
      </c>
      <c r="I27" s="10">
        <f t="shared" ref="I27:J27" si="6">SUM(I28:I30)</f>
        <v>21366</v>
      </c>
      <c r="J27" s="104">
        <f t="shared" si="6"/>
        <v>621</v>
      </c>
    </row>
    <row r="28" spans="2:12" ht="24.75" thickBot="1" x14ac:dyDescent="0.3">
      <c r="B28" s="9" t="s">
        <v>76</v>
      </c>
      <c r="C28" s="115"/>
      <c r="D28" s="115"/>
      <c r="E28" s="109" t="s">
        <v>41</v>
      </c>
      <c r="F28" s="27">
        <f>G28-C28-D28</f>
        <v>12728</v>
      </c>
      <c r="G28" s="17">
        <f>H28+I28</f>
        <v>12728</v>
      </c>
      <c r="H28" s="61"/>
      <c r="I28" s="111">
        <v>12728</v>
      </c>
      <c r="J28" s="102">
        <v>621</v>
      </c>
    </row>
    <row r="29" spans="2:12" ht="39" thickBot="1" x14ac:dyDescent="0.3">
      <c r="B29" s="9" t="s">
        <v>190</v>
      </c>
      <c r="C29" s="111">
        <v>5951</v>
      </c>
      <c r="D29" s="115"/>
      <c r="E29" s="109" t="s">
        <v>10</v>
      </c>
      <c r="F29" s="27">
        <f>G29-C29-D29</f>
        <v>2687</v>
      </c>
      <c r="G29" s="17">
        <f>H29+I29</f>
        <v>8638</v>
      </c>
      <c r="H29" s="61"/>
      <c r="I29" s="111">
        <v>8638</v>
      </c>
      <c r="J29" s="80"/>
    </row>
    <row r="30" spans="2:12" ht="15.75" thickBot="1" x14ac:dyDescent="0.3">
      <c r="B30" s="9" t="s">
        <v>78</v>
      </c>
      <c r="C30" s="111">
        <f>11524+8050+1140</f>
        <v>20714</v>
      </c>
      <c r="D30" s="115"/>
      <c r="E30" s="109" t="s">
        <v>10</v>
      </c>
      <c r="F30" s="69">
        <f t="shared" ref="F30:F38" si="7">G30-C30-D30</f>
        <v>3067</v>
      </c>
      <c r="G30" s="17">
        <f t="shared" ref="G30:G38" si="8">H30+I30</f>
        <v>23781</v>
      </c>
      <c r="H30" s="111">
        <f>23781</f>
        <v>23781</v>
      </c>
      <c r="I30" s="111"/>
      <c r="J30" s="80"/>
    </row>
    <row r="31" spans="2:12" ht="34.35" customHeight="1" thickBot="1" x14ac:dyDescent="0.3">
      <c r="B31" s="8" t="s">
        <v>15</v>
      </c>
      <c r="C31" s="10">
        <f>SUM(C32:C33)</f>
        <v>258765</v>
      </c>
      <c r="D31" s="10">
        <f>SUM(D32:D33)</f>
        <v>0</v>
      </c>
      <c r="E31" s="14"/>
      <c r="F31" s="26">
        <f t="shared" si="7"/>
        <v>34727</v>
      </c>
      <c r="G31" s="56">
        <f t="shared" si="8"/>
        <v>293492</v>
      </c>
      <c r="H31" s="10">
        <f>SUM(H32:H33)</f>
        <v>293492</v>
      </c>
      <c r="I31" s="10">
        <f>SUM(I32:I33)</f>
        <v>0</v>
      </c>
      <c r="J31" s="79">
        <f>SUM(J32:J33)</f>
        <v>0</v>
      </c>
    </row>
    <row r="32" spans="2:12" ht="51.75" thickBot="1" x14ac:dyDescent="0.3">
      <c r="B32" s="9" t="s">
        <v>191</v>
      </c>
      <c r="C32" s="111">
        <v>31</v>
      </c>
      <c r="D32" s="115"/>
      <c r="E32" s="109" t="s">
        <v>10</v>
      </c>
      <c r="F32" s="27">
        <f t="shared" si="7"/>
        <v>6500</v>
      </c>
      <c r="G32" s="17">
        <f t="shared" si="8"/>
        <v>6531</v>
      </c>
      <c r="H32" s="111">
        <v>6531</v>
      </c>
      <c r="I32" s="115"/>
      <c r="J32" s="80"/>
    </row>
    <row r="33" spans="2:10" ht="48" customHeight="1" thickBot="1" x14ac:dyDescent="0.3">
      <c r="B33" s="9" t="s">
        <v>183</v>
      </c>
      <c r="C33" s="111">
        <f>228642+9352+2534+3040+6117+9049</f>
        <v>258734</v>
      </c>
      <c r="D33" s="115"/>
      <c r="E33" s="109" t="s">
        <v>9</v>
      </c>
      <c r="F33" s="27">
        <f t="shared" si="7"/>
        <v>28227</v>
      </c>
      <c r="G33" s="17">
        <f t="shared" si="8"/>
        <v>286961</v>
      </c>
      <c r="H33" s="111">
        <f>228642+24928-1188+9352+2534+3040+6117+9049+4487</f>
        <v>286961</v>
      </c>
      <c r="I33" s="115"/>
      <c r="J33" s="90"/>
    </row>
    <row r="34" spans="2:10" ht="26.25" thickBot="1" x14ac:dyDescent="0.3">
      <c r="B34" s="8" t="s">
        <v>16</v>
      </c>
      <c r="C34" s="10">
        <f>SUM(C35:C38)</f>
        <v>0</v>
      </c>
      <c r="D34" s="10">
        <f>SUM(D35:D38)</f>
        <v>18323</v>
      </c>
      <c r="E34" s="14"/>
      <c r="F34" s="26">
        <f t="shared" si="7"/>
        <v>13590</v>
      </c>
      <c r="G34" s="56">
        <f t="shared" si="8"/>
        <v>31913</v>
      </c>
      <c r="H34" s="10">
        <f>SUM(H35:H38)</f>
        <v>21783</v>
      </c>
      <c r="I34" s="10">
        <f t="shared" ref="I34:J34" si="9">SUM(I35:I38)</f>
        <v>10130</v>
      </c>
      <c r="J34" s="79">
        <f t="shared" si="9"/>
        <v>5868</v>
      </c>
    </row>
    <row r="35" spans="2:10" ht="15.75" thickBot="1" x14ac:dyDescent="0.3">
      <c r="B35" s="9" t="s">
        <v>81</v>
      </c>
      <c r="C35" s="111"/>
      <c r="D35" s="115">
        <f>10438+541</f>
        <v>10979</v>
      </c>
      <c r="E35" s="67" t="s">
        <v>10</v>
      </c>
      <c r="F35" s="27">
        <f t="shared" si="7"/>
        <v>0</v>
      </c>
      <c r="G35" s="17">
        <f t="shared" si="8"/>
        <v>10979</v>
      </c>
      <c r="H35" s="111">
        <f>7980+1051+878+311+759</f>
        <v>10979</v>
      </c>
      <c r="I35" s="111"/>
      <c r="J35" s="80"/>
    </row>
    <row r="36" spans="2:10" ht="26.25" thickBot="1" x14ac:dyDescent="0.3">
      <c r="B36" s="9" t="s">
        <v>82</v>
      </c>
      <c r="C36" s="115"/>
      <c r="D36" s="115">
        <f>5600+1512</f>
        <v>7112</v>
      </c>
      <c r="E36" s="67" t="s">
        <v>10</v>
      </c>
      <c r="F36" s="27">
        <f t="shared" si="7"/>
        <v>10130</v>
      </c>
      <c r="G36" s="17">
        <f t="shared" si="8"/>
        <v>17242</v>
      </c>
      <c r="H36" s="111">
        <f>7112</f>
        <v>7112</v>
      </c>
      <c r="I36" s="111">
        <f>10129+1</f>
        <v>10130</v>
      </c>
      <c r="J36" s="102">
        <v>5868</v>
      </c>
    </row>
    <row r="37" spans="2:10" ht="15.75" thickBot="1" x14ac:dyDescent="0.3">
      <c r="B37" s="9" t="s">
        <v>83</v>
      </c>
      <c r="C37" s="115"/>
      <c r="D37" s="115">
        <v>232</v>
      </c>
      <c r="E37" s="67" t="s">
        <v>10</v>
      </c>
      <c r="F37" s="27">
        <f t="shared" si="7"/>
        <v>2272</v>
      </c>
      <c r="G37" s="17">
        <f t="shared" si="8"/>
        <v>2504</v>
      </c>
      <c r="H37" s="111">
        <f>2272+232</f>
        <v>2504</v>
      </c>
      <c r="I37" s="111"/>
      <c r="J37" s="81"/>
    </row>
    <row r="38" spans="2:10" ht="15.75" thickBot="1" x14ac:dyDescent="0.3">
      <c r="B38" s="9" t="s">
        <v>182</v>
      </c>
      <c r="C38" s="115"/>
      <c r="D38" s="115"/>
      <c r="E38" s="67" t="s">
        <v>10</v>
      </c>
      <c r="F38" s="27">
        <f t="shared" si="7"/>
        <v>1188</v>
      </c>
      <c r="G38" s="17">
        <f t="shared" si="8"/>
        <v>1188</v>
      </c>
      <c r="H38" s="111">
        <v>1188</v>
      </c>
      <c r="I38" s="111"/>
      <c r="J38" s="81"/>
    </row>
    <row r="39" spans="2:10" ht="15.75" thickBot="1" x14ac:dyDescent="0.3">
      <c r="B39" s="9" t="s">
        <v>194</v>
      </c>
      <c r="C39" s="115"/>
      <c r="D39" s="115"/>
      <c r="E39" s="67" t="s">
        <v>10</v>
      </c>
      <c r="F39" s="27"/>
      <c r="G39" s="17"/>
      <c r="H39" s="111"/>
      <c r="I39" s="111"/>
      <c r="J39" s="81"/>
    </row>
    <row r="40" spans="2:10" ht="15.75" thickBot="1" x14ac:dyDescent="0.3">
      <c r="B40" s="8" t="s">
        <v>17</v>
      </c>
      <c r="C40" s="10">
        <f>SUM(C41:C44)</f>
        <v>13147</v>
      </c>
      <c r="D40" s="10">
        <f>SUM(D41:D44)</f>
        <v>0</v>
      </c>
      <c r="E40" s="14"/>
      <c r="F40" s="26">
        <f>G40-C40-D40</f>
        <v>148778</v>
      </c>
      <c r="G40" s="56">
        <f>H40+I40</f>
        <v>161925</v>
      </c>
      <c r="H40" s="10">
        <f>SUM(H41:H44)</f>
        <v>1315</v>
      </c>
      <c r="I40" s="10">
        <f>SUM(I41:I44)</f>
        <v>160610</v>
      </c>
      <c r="J40" s="104">
        <f>SUM(J41:J44)</f>
        <v>7320</v>
      </c>
    </row>
    <row r="41" spans="2:10" ht="39" thickBot="1" x14ac:dyDescent="0.3">
      <c r="B41" s="9" t="s">
        <v>129</v>
      </c>
      <c r="C41" s="155">
        <v>13147</v>
      </c>
      <c r="D41" s="115"/>
      <c r="E41" s="109" t="s">
        <v>9</v>
      </c>
      <c r="F41" s="27">
        <f>G41-C41-D41</f>
        <v>89804</v>
      </c>
      <c r="G41" s="17">
        <f>H41+I41</f>
        <v>102951</v>
      </c>
      <c r="H41" s="111"/>
      <c r="I41" s="111">
        <f>102018-14200+6300+8833</f>
        <v>102951</v>
      </c>
      <c r="J41" s="102">
        <v>4524</v>
      </c>
    </row>
    <row r="42" spans="2:10" ht="15.75" thickBot="1" x14ac:dyDescent="0.3">
      <c r="B42" s="9" t="s">
        <v>85</v>
      </c>
      <c r="C42" s="157"/>
      <c r="D42" s="115"/>
      <c r="E42" s="109" t="s">
        <v>9</v>
      </c>
      <c r="F42" s="27">
        <f>G42-C42-D42</f>
        <v>14200</v>
      </c>
      <c r="G42" s="17">
        <f>H42+I42</f>
        <v>14200</v>
      </c>
      <c r="H42" s="111"/>
      <c r="I42" s="111">
        <v>14200</v>
      </c>
      <c r="J42" s="102"/>
    </row>
    <row r="43" spans="2:10" ht="26.25" thickBot="1" x14ac:dyDescent="0.3">
      <c r="B43" s="9" t="s">
        <v>86</v>
      </c>
      <c r="C43" s="157"/>
      <c r="D43" s="115"/>
      <c r="E43" s="109" t="s">
        <v>9</v>
      </c>
      <c r="F43" s="27">
        <f t="shared" ref="F43:F44" si="10">G43-C43-D43</f>
        <v>22092</v>
      </c>
      <c r="G43" s="17">
        <f t="shared" ref="G43:G44" si="11">H43+I43</f>
        <v>22092</v>
      </c>
      <c r="H43" s="111">
        <v>1315</v>
      </c>
      <c r="I43" s="111">
        <v>20777</v>
      </c>
      <c r="J43" s="102">
        <v>396</v>
      </c>
    </row>
    <row r="44" spans="2:10" ht="15.75" thickBot="1" x14ac:dyDescent="0.3">
      <c r="B44" s="53" t="s">
        <v>87</v>
      </c>
      <c r="C44" s="156"/>
      <c r="D44" s="113"/>
      <c r="E44" s="109" t="s">
        <v>9</v>
      </c>
      <c r="F44" s="54">
        <f t="shared" si="10"/>
        <v>22682</v>
      </c>
      <c r="G44" s="55">
        <f t="shared" si="11"/>
        <v>22682</v>
      </c>
      <c r="H44" s="88"/>
      <c r="I44" s="88">
        <v>22682</v>
      </c>
      <c r="J44" s="105">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196</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112" t="s">
        <v>134</v>
      </c>
    </row>
    <row r="52" spans="2:10" ht="26.25" thickBot="1" x14ac:dyDescent="0.3">
      <c r="B52" s="8" t="s">
        <v>18</v>
      </c>
      <c r="C52" s="10">
        <f>SUM(C53:C56)</f>
        <v>0</v>
      </c>
      <c r="D52" s="10">
        <f>SUM(D53:D56)</f>
        <v>0</v>
      </c>
      <c r="E52" s="14"/>
      <c r="F52" s="26">
        <f>G52-C52-D52</f>
        <v>25372</v>
      </c>
      <c r="G52" s="56">
        <f>H52+I52</f>
        <v>25372</v>
      </c>
      <c r="H52" s="10">
        <f>SUM(H53:H56)</f>
        <v>25372</v>
      </c>
      <c r="I52" s="10">
        <f>SUM(I53:I56)</f>
        <v>0</v>
      </c>
      <c r="J52" s="79">
        <f>SUM(J53:J56)</f>
        <v>0</v>
      </c>
    </row>
    <row r="53" spans="2:10" ht="26.25" thickBot="1" x14ac:dyDescent="0.3">
      <c r="B53" s="9" t="s">
        <v>88</v>
      </c>
      <c r="C53" s="115"/>
      <c r="D53" s="115"/>
      <c r="E53" s="109" t="s">
        <v>186</v>
      </c>
      <c r="F53" s="27">
        <f>G53-C53-D53</f>
        <v>15372</v>
      </c>
      <c r="G53" s="17">
        <f>H53+I53</f>
        <v>15372</v>
      </c>
      <c r="H53" s="111">
        <f>12000+2160+912+300</f>
        <v>15372</v>
      </c>
      <c r="I53" s="115"/>
      <c r="J53" s="80"/>
    </row>
    <row r="54" spans="2:10" ht="21" customHeight="1" thickBot="1" x14ac:dyDescent="0.3">
      <c r="B54" s="9" t="s">
        <v>89</v>
      </c>
      <c r="C54" s="115"/>
      <c r="D54" s="115"/>
      <c r="E54" s="109" t="s">
        <v>186</v>
      </c>
      <c r="F54" s="27">
        <f t="shared" ref="F54" si="12">G54-C54-D54</f>
        <v>3000</v>
      </c>
      <c r="G54" s="17">
        <f t="shared" ref="G54" si="13">H54+I54</f>
        <v>3000</v>
      </c>
      <c r="H54" s="111">
        <v>3000</v>
      </c>
      <c r="I54" s="115"/>
      <c r="J54" s="80"/>
    </row>
    <row r="55" spans="2:10" ht="26.25" thickBot="1" x14ac:dyDescent="0.3">
      <c r="B55" s="9" t="s">
        <v>188</v>
      </c>
      <c r="C55" s="115"/>
      <c r="D55" s="115"/>
      <c r="E55" s="109" t="s">
        <v>9</v>
      </c>
      <c r="F55" s="27">
        <f>G55-C55-D55</f>
        <v>5000</v>
      </c>
      <c r="G55" s="17">
        <f>H55+I55</f>
        <v>5000</v>
      </c>
      <c r="H55" s="111">
        <v>5000</v>
      </c>
      <c r="I55" s="115"/>
      <c r="J55" s="80"/>
    </row>
    <row r="56" spans="2:10" ht="26.25" thickBot="1" x14ac:dyDescent="0.3">
      <c r="B56" s="9" t="s">
        <v>187</v>
      </c>
      <c r="C56" s="115"/>
      <c r="D56" s="115"/>
      <c r="E56" s="109" t="s">
        <v>9</v>
      </c>
      <c r="F56" s="27">
        <f t="shared" ref="F56" si="14">G56-C56-D56</f>
        <v>2000</v>
      </c>
      <c r="G56" s="17">
        <f t="shared" ref="G56" si="15">H56+I56</f>
        <v>2000</v>
      </c>
      <c r="H56" s="111">
        <v>2000</v>
      </c>
      <c r="I56" s="115"/>
      <c r="J56" s="80"/>
    </row>
    <row r="57" spans="2:10" ht="26.25" thickBot="1" x14ac:dyDescent="0.3">
      <c r="B57" s="8" t="s">
        <v>140</v>
      </c>
      <c r="C57" s="10">
        <f>SUM(C58:C61)</f>
        <v>0</v>
      </c>
      <c r="D57" s="10">
        <f>SUM(D58:D61)</f>
        <v>0</v>
      </c>
      <c r="E57" s="14"/>
      <c r="F57" s="26">
        <f>G57-C57-D57</f>
        <v>12000</v>
      </c>
      <c r="G57" s="56">
        <f>H57+I57</f>
        <v>12000</v>
      </c>
      <c r="H57" s="89">
        <f>SUM(H58:H61)</f>
        <v>12000</v>
      </c>
      <c r="I57" s="10">
        <f t="shared" ref="I57:J57" si="16">SUM(I58:I61)</f>
        <v>0</v>
      </c>
      <c r="J57" s="79">
        <f t="shared" si="16"/>
        <v>153752</v>
      </c>
    </row>
    <row r="58" spans="2:10" ht="26.25" thickBot="1" x14ac:dyDescent="0.3">
      <c r="B58" s="9" t="s">
        <v>139</v>
      </c>
      <c r="C58" s="115"/>
      <c r="D58" s="115"/>
      <c r="E58" s="109" t="s">
        <v>9</v>
      </c>
      <c r="F58" s="27">
        <f>G58-C58-D58</f>
        <v>0</v>
      </c>
      <c r="G58" s="17">
        <f>H58+I58</f>
        <v>0</v>
      </c>
      <c r="H58" s="115">
        <v>0</v>
      </c>
      <c r="I58" s="115"/>
      <c r="J58" s="102">
        <f>55300+5892</f>
        <v>61192</v>
      </c>
    </row>
    <row r="59" spans="2:10" ht="15.75" thickBot="1" x14ac:dyDescent="0.3">
      <c r="B59" s="9" t="s">
        <v>92</v>
      </c>
      <c r="C59" s="115"/>
      <c r="D59" s="115"/>
      <c r="E59" s="109" t="s">
        <v>9</v>
      </c>
      <c r="F59" s="27">
        <f>G59-C59-D59</f>
        <v>0</v>
      </c>
      <c r="G59" s="17">
        <f>H59+I59</f>
        <v>0</v>
      </c>
      <c r="H59" s="115">
        <v>0</v>
      </c>
      <c r="I59" s="115"/>
      <c r="J59" s="102">
        <f>2290+18520</f>
        <v>20810</v>
      </c>
    </row>
    <row r="60" spans="2:10" ht="26.25" thickBot="1" x14ac:dyDescent="0.3">
      <c r="B60" s="9" t="s">
        <v>93</v>
      </c>
      <c r="C60" s="115"/>
      <c r="D60" s="115"/>
      <c r="E60" s="109" t="s">
        <v>9</v>
      </c>
      <c r="F60" s="27">
        <f t="shared" ref="F60:F62" si="17">G60-C60-D60</f>
        <v>0</v>
      </c>
      <c r="G60" s="17">
        <f t="shared" ref="G60:G61" si="18">H60+I60</f>
        <v>0</v>
      </c>
      <c r="H60" s="115">
        <v>0</v>
      </c>
      <c r="I60" s="115"/>
      <c r="J60" s="102">
        <v>71750</v>
      </c>
    </row>
    <row r="61" spans="2:10" ht="26.25" thickBot="1" x14ac:dyDescent="0.3">
      <c r="B61" s="9" t="s">
        <v>94</v>
      </c>
      <c r="C61" s="115"/>
      <c r="D61" s="115"/>
      <c r="E61" s="109" t="s">
        <v>9</v>
      </c>
      <c r="F61" s="27">
        <f>G61-C61-D61</f>
        <v>12000</v>
      </c>
      <c r="G61" s="17">
        <f t="shared" si="18"/>
        <v>12000</v>
      </c>
      <c r="H61" s="111">
        <v>12000</v>
      </c>
      <c r="I61" s="115"/>
      <c r="J61" s="98"/>
    </row>
    <row r="62" spans="2:10" ht="29.1" customHeight="1" thickBot="1" x14ac:dyDescent="0.3">
      <c r="B62" s="60" t="s">
        <v>30</v>
      </c>
      <c r="C62" s="21">
        <f>C57+C52+C40+C34+C31+C27+C21+C16+C11+C8</f>
        <v>979402</v>
      </c>
      <c r="D62" s="21">
        <f>D57+D52+D40+D34+D31+D27+D21+D16+D11+D8</f>
        <v>313589</v>
      </c>
      <c r="E62" s="43"/>
      <c r="F62" s="31">
        <f t="shared" si="17"/>
        <v>679243</v>
      </c>
      <c r="G62" s="44">
        <f>G57+G52+G40+G34+G31+G27+G21+G16+G11+G8</f>
        <v>1972234</v>
      </c>
      <c r="H62" s="21">
        <f>H57+H52+H40+H34+H31+H27+H21+H16+H11+H8</f>
        <v>1617817</v>
      </c>
      <c r="I62" s="45">
        <f>I57+I52+I40+I34+I31+I27+I21+I16+I11+I8</f>
        <v>354417</v>
      </c>
      <c r="J62" s="46">
        <f>J57+J52+J40+J34+J31+J27+J21+J16+J11+J8</f>
        <v>253006</v>
      </c>
    </row>
    <row r="63" spans="2:10" ht="26.1" customHeight="1" thickBot="1" x14ac:dyDescent="0.3">
      <c r="B63" s="142" t="s">
        <v>136</v>
      </c>
      <c r="C63" s="142"/>
      <c r="D63" s="142"/>
      <c r="E63" s="142"/>
      <c r="F63" s="166"/>
      <c r="G63" s="74">
        <f>G62-C62-D62-F62</f>
        <v>0</v>
      </c>
      <c r="H63" s="167"/>
      <c r="I63" s="168"/>
      <c r="J63" s="168"/>
    </row>
    <row r="64" spans="2:10" ht="26.25" customHeight="1" thickBot="1" x14ac:dyDescent="0.3">
      <c r="B64" s="20" t="s">
        <v>34</v>
      </c>
      <c r="C64" s="184" t="s">
        <v>1</v>
      </c>
      <c r="D64" s="184"/>
      <c r="E64" s="184"/>
      <c r="F64" s="185"/>
      <c r="G64" s="147" t="s">
        <v>45</v>
      </c>
      <c r="H64" s="147"/>
      <c r="I64" s="147"/>
      <c r="J64" s="147"/>
    </row>
    <row r="65" spans="2:13" ht="36" customHeight="1" thickBot="1" x14ac:dyDescent="0.3">
      <c r="B65" s="7" t="s">
        <v>2</v>
      </c>
      <c r="C65" s="76" t="s">
        <v>105</v>
      </c>
      <c r="D65" s="34" t="s">
        <v>0</v>
      </c>
      <c r="E65" s="35" t="s">
        <v>48</v>
      </c>
      <c r="F65" s="36" t="s">
        <v>49</v>
      </c>
      <c r="G65" s="18" t="s">
        <v>59</v>
      </c>
      <c r="H65" s="160" t="s">
        <v>46</v>
      </c>
      <c r="I65" s="161"/>
      <c r="J65" s="161"/>
    </row>
    <row r="66" spans="2:13" ht="15.75" thickBot="1" x14ac:dyDescent="0.3">
      <c r="B66" s="8" t="s">
        <v>42</v>
      </c>
      <c r="C66" s="10">
        <f>SUM(C67:C70)</f>
        <v>1000497</v>
      </c>
      <c r="D66" s="10">
        <f>SUM(D67:D70)</f>
        <v>33941</v>
      </c>
      <c r="E66" s="14"/>
      <c r="F66" s="10">
        <f>SUM(F67:F70)</f>
        <v>17257</v>
      </c>
      <c r="G66" s="86">
        <f>SUM(G67:G70)</f>
        <v>371168</v>
      </c>
      <c r="H66" s="162"/>
      <c r="I66" s="163"/>
      <c r="J66" s="163"/>
    </row>
    <row r="67" spans="2:13" ht="44.45" customHeight="1" thickBot="1" x14ac:dyDescent="0.3">
      <c r="B67" s="9" t="s">
        <v>95</v>
      </c>
      <c r="C67" s="115">
        <f>78+8643-6553</f>
        <v>2168</v>
      </c>
      <c r="D67" s="115"/>
      <c r="E67" s="114" t="s">
        <v>50</v>
      </c>
      <c r="F67" s="27">
        <f>10000-505-2160-912-311-166-480-1921-53-655-980-300-416-555-840-65-400-797-195-1285-339-1000+5350+52+313+6553</f>
        <v>7933</v>
      </c>
      <c r="G67" s="77">
        <f>C67+D67+F67</f>
        <v>10101</v>
      </c>
      <c r="H67" s="162"/>
      <c r="I67" s="163"/>
      <c r="J67" s="163"/>
      <c r="L67" s="116">
        <v>10101</v>
      </c>
    </row>
    <row r="68" spans="2:13" ht="45.75" thickBot="1" x14ac:dyDescent="0.3">
      <c r="B68" s="9" t="s">
        <v>96</v>
      </c>
      <c r="C68" s="115">
        <v>74458</v>
      </c>
      <c r="D68" s="111">
        <f>590+22321+160+6026+4844</f>
        <v>33941</v>
      </c>
      <c r="E68" s="114" t="s">
        <v>47</v>
      </c>
      <c r="F68" s="27"/>
      <c r="G68" s="77">
        <f>C68+D68+F68-F75</f>
        <v>97638</v>
      </c>
      <c r="H68" s="162"/>
      <c r="I68" s="163"/>
      <c r="J68" s="163"/>
      <c r="L68" s="116">
        <v>97638</v>
      </c>
    </row>
    <row r="69" spans="2:13" ht="45.75" thickBot="1" x14ac:dyDescent="0.3">
      <c r="B69" s="9" t="s">
        <v>97</v>
      </c>
      <c r="C69" s="115">
        <f>15377+7000+10000</f>
        <v>32377</v>
      </c>
      <c r="D69" s="115"/>
      <c r="E69" s="114" t="s">
        <v>150</v>
      </c>
      <c r="F69" s="27"/>
      <c r="G69" s="77">
        <f>C69+D69+F69</f>
        <v>32377</v>
      </c>
      <c r="H69" s="164"/>
      <c r="I69" s="165"/>
      <c r="J69" s="165"/>
      <c r="L69" s="116">
        <v>32377</v>
      </c>
    </row>
    <row r="70" spans="2:13" ht="44.1" customHeight="1" thickBot="1" x14ac:dyDescent="0.3">
      <c r="B70" s="9" t="s">
        <v>107</v>
      </c>
      <c r="C70" s="97">
        <f>195000+4300+38250+8076+350+6000+75+2159+235+225+221+351+400+45+2985+870+1632+1018+40000+9856+211637+20704+1350+54039+9601+5773+1030-1+10000+1247+32609+146788+63500+21169</f>
        <v>891494</v>
      </c>
      <c r="D70" s="111"/>
      <c r="E70" s="114" t="s">
        <v>148</v>
      </c>
      <c r="F70" s="83">
        <f>G95</f>
        <v>9324</v>
      </c>
      <c r="G70" s="77">
        <f>C70+D70+F70-F73-F74-F78-F79-F80-F81-F82-F83-F84-F85-F86</f>
        <v>231052</v>
      </c>
      <c r="H70" s="173" t="s">
        <v>149</v>
      </c>
      <c r="I70" s="174"/>
      <c r="J70" s="174"/>
      <c r="L70" s="116">
        <v>231052</v>
      </c>
      <c r="M70" s="108">
        <f>+G70-L70</f>
        <v>0</v>
      </c>
    </row>
    <row r="71" spans="2:13" ht="34.35" customHeight="1" thickBot="1" x14ac:dyDescent="0.3">
      <c r="B71" s="70" t="s">
        <v>2</v>
      </c>
      <c r="C71" s="71" t="s">
        <v>3</v>
      </c>
      <c r="D71" s="71" t="s">
        <v>21</v>
      </c>
      <c r="E71" s="72" t="s">
        <v>22</v>
      </c>
      <c r="F71" s="73" t="s">
        <v>29</v>
      </c>
      <c r="G71" s="18" t="s">
        <v>23</v>
      </c>
      <c r="H71" s="175"/>
      <c r="I71" s="176"/>
      <c r="J71" s="176"/>
    </row>
    <row r="72" spans="2:13" ht="26.25" thickBot="1" x14ac:dyDescent="0.3">
      <c r="B72" s="8" t="s">
        <v>44</v>
      </c>
      <c r="C72" s="10">
        <f>+C76</f>
        <v>22500</v>
      </c>
      <c r="D72" s="10">
        <v>0</v>
      </c>
      <c r="E72" s="14"/>
      <c r="F72" s="26">
        <f>SUM(F73:F76)</f>
        <v>565648</v>
      </c>
      <c r="G72" s="56">
        <f>SUM(C72+D72+F72)</f>
        <v>588148</v>
      </c>
      <c r="H72" s="158" t="s">
        <v>131</v>
      </c>
      <c r="I72" s="159"/>
      <c r="J72" s="159"/>
    </row>
    <row r="73" spans="2:13" ht="27" customHeight="1" thickBot="1" x14ac:dyDescent="0.3">
      <c r="B73" s="9" t="s">
        <v>98</v>
      </c>
      <c r="C73" s="115"/>
      <c r="D73" s="115"/>
      <c r="E73" s="114" t="s">
        <v>51</v>
      </c>
      <c r="F73" s="69">
        <f>195000+4300+38250+8076+350+2159+2985+870+40000+180+147+114+2000+357+100+80+200+934+65+100+12+160+122+80+150+600+7895+49405+959+90+64+160+80+11+143+254+337+1018+2536+317+150+770+19+761+649+381+560+159+244+59+4941+1030+98+778+320+4803+3500+60+29688+71+330+113297+100+1000+153+11+68+4487+1143+10300+8000+4064+134+10+317+9+79+406+18+38+55+100+11+155+180+3+572+42+310+248+165+381-1000</f>
        <v>554887</v>
      </c>
      <c r="G73" s="17">
        <f t="shared" ref="G73:G75" si="19">SUM(C73+D73+F73)</f>
        <v>554887</v>
      </c>
      <c r="H73" s="129" t="s">
        <v>53</v>
      </c>
      <c r="I73" s="129" t="s">
        <v>64</v>
      </c>
      <c r="J73" s="129" t="s">
        <v>132</v>
      </c>
    </row>
    <row r="74" spans="2:13" ht="26.25" thickBot="1" x14ac:dyDescent="0.3">
      <c r="B74" s="9" t="s">
        <v>106</v>
      </c>
      <c r="C74" s="115"/>
      <c r="D74" s="115"/>
      <c r="E74" s="114" t="s">
        <v>51</v>
      </c>
      <c r="F74" s="69"/>
      <c r="G74" s="77">
        <f t="shared" si="19"/>
        <v>0</v>
      </c>
      <c r="H74" s="130"/>
      <c r="I74" s="130"/>
      <c r="J74" s="130"/>
    </row>
    <row r="75" spans="2:13" ht="26.25" thickBot="1" x14ac:dyDescent="0.3">
      <c r="B75" s="9" t="s">
        <v>99</v>
      </c>
      <c r="C75" s="115"/>
      <c r="D75" s="115"/>
      <c r="E75" s="114" t="s">
        <v>152</v>
      </c>
      <c r="F75" s="69">
        <f>1354+2097+2927+1383+3000</f>
        <v>10761</v>
      </c>
      <c r="G75" s="77">
        <f t="shared" si="19"/>
        <v>10761</v>
      </c>
      <c r="H75" s="130"/>
      <c r="I75" s="130"/>
      <c r="J75" s="130"/>
    </row>
    <row r="76" spans="2:13" ht="26.25" thickBot="1" x14ac:dyDescent="0.3">
      <c r="B76" s="9" t="s">
        <v>100</v>
      </c>
      <c r="C76" s="115">
        <v>22500</v>
      </c>
      <c r="D76" s="61"/>
      <c r="E76" s="114" t="s">
        <v>9</v>
      </c>
      <c r="F76" s="69">
        <v>0</v>
      </c>
      <c r="G76" s="77">
        <f>SUM(C76+D76+F76)</f>
        <v>22500</v>
      </c>
      <c r="H76" s="131"/>
      <c r="I76" s="131"/>
      <c r="J76" s="131"/>
    </row>
    <row r="77" spans="2:13" ht="26.25" thickBot="1" x14ac:dyDescent="0.3">
      <c r="B77" s="8" t="s">
        <v>57</v>
      </c>
      <c r="C77" s="10">
        <f>SUM(C79:C86)</f>
        <v>4240894</v>
      </c>
      <c r="D77" s="10">
        <f>SUM(D79:D86)</f>
        <v>122884</v>
      </c>
      <c r="E77" s="14"/>
      <c r="F77" s="10">
        <f>SUM(F78:F86)</f>
        <v>114879</v>
      </c>
      <c r="G77" s="56">
        <f>SUM(C77+D77+F77)</f>
        <v>4478657</v>
      </c>
      <c r="H77" s="62">
        <f>SUM(H79:H86)</f>
        <v>350565</v>
      </c>
      <c r="I77" s="65">
        <f>SUM(I79:I86)</f>
        <v>986196</v>
      </c>
      <c r="J77" s="65">
        <f>SUM(J79:J86)</f>
        <v>5815418</v>
      </c>
    </row>
    <row r="78" spans="2:13" ht="46.35" customHeight="1" thickBot="1" x14ac:dyDescent="0.3">
      <c r="B78" s="9" t="s">
        <v>52</v>
      </c>
      <c r="C78" s="115"/>
      <c r="D78" s="115"/>
      <c r="E78" s="126" t="s">
        <v>151</v>
      </c>
      <c r="F78" s="27"/>
      <c r="G78" s="17">
        <f t="shared" ref="G78:G86" si="20">C78+D78+F78</f>
        <v>0</v>
      </c>
      <c r="H78" s="63"/>
      <c r="I78" s="63"/>
      <c r="J78" s="64">
        <f>SUM(G78:I78)</f>
        <v>0</v>
      </c>
    </row>
    <row r="79" spans="2:13" ht="15" customHeight="1" thickBot="1" x14ac:dyDescent="0.3">
      <c r="B79" s="9" t="s">
        <v>157</v>
      </c>
      <c r="C79" s="115"/>
      <c r="D79" s="115"/>
      <c r="E79" s="127"/>
      <c r="F79" s="27"/>
      <c r="G79" s="17">
        <f t="shared" si="20"/>
        <v>0</v>
      </c>
      <c r="H79" s="63"/>
      <c r="I79" s="63"/>
      <c r="J79" s="64">
        <f>SUM(G79:I79)</f>
        <v>0</v>
      </c>
    </row>
    <row r="80" spans="2:13" ht="15.75" thickBot="1" x14ac:dyDescent="0.3">
      <c r="B80" s="9" t="s">
        <v>184</v>
      </c>
      <c r="C80" s="111"/>
      <c r="D80" s="115">
        <v>64990</v>
      </c>
      <c r="E80" s="127"/>
      <c r="F80" s="27"/>
      <c r="G80" s="77">
        <f t="shared" si="20"/>
        <v>64990</v>
      </c>
      <c r="H80" s="63"/>
      <c r="I80" s="63">
        <v>13672</v>
      </c>
      <c r="J80" s="64">
        <f t="shared" ref="J80:J86" si="21">SUM(G80:I80)</f>
        <v>78662</v>
      </c>
    </row>
    <row r="81" spans="2:14" ht="15.75" thickBot="1" x14ac:dyDescent="0.3">
      <c r="B81" s="9" t="s">
        <v>25</v>
      </c>
      <c r="C81" s="111">
        <f>90066+90752+62026+31622+26148-13645</f>
        <v>286969</v>
      </c>
      <c r="D81" s="115">
        <f>3855+54039</f>
        <v>57894</v>
      </c>
      <c r="E81" s="127"/>
      <c r="F81" s="27">
        <f>204+770+35023+1777+385+1524+13645+31228+29688</f>
        <v>114244</v>
      </c>
      <c r="G81" s="77">
        <f t="shared" si="20"/>
        <v>459107</v>
      </c>
      <c r="H81" s="63">
        <f>587654-90066-90036-90752-31622-26148-1777-385-1524-13645-31228-29688-48381</f>
        <v>132402</v>
      </c>
      <c r="I81" s="63">
        <f>35961+10220+202110</f>
        <v>248291</v>
      </c>
      <c r="J81" s="64">
        <f t="shared" si="21"/>
        <v>839800</v>
      </c>
    </row>
    <row r="82" spans="2:14" ht="15.75" thickBot="1" x14ac:dyDescent="0.3">
      <c r="B82" s="9" t="s">
        <v>62</v>
      </c>
      <c r="C82" s="115"/>
      <c r="D82" s="115"/>
      <c r="E82" s="127"/>
      <c r="F82" s="27"/>
      <c r="G82" s="77">
        <f t="shared" si="20"/>
        <v>0</v>
      </c>
      <c r="H82" s="63"/>
      <c r="I82" s="63"/>
      <c r="J82" s="64">
        <f t="shared" si="21"/>
        <v>0</v>
      </c>
    </row>
    <row r="83" spans="2:14" ht="15.75" thickBot="1" x14ac:dyDescent="0.3">
      <c r="B83" s="9" t="s">
        <v>156</v>
      </c>
      <c r="C83" s="115"/>
      <c r="D83" s="115"/>
      <c r="E83" s="127"/>
      <c r="F83" s="27"/>
      <c r="G83" s="77">
        <f t="shared" si="20"/>
        <v>0</v>
      </c>
      <c r="H83" s="63"/>
      <c r="I83" s="63"/>
      <c r="J83" s="64">
        <f t="shared" si="21"/>
        <v>0</v>
      </c>
    </row>
    <row r="84" spans="2:14" ht="15.75" thickBot="1" x14ac:dyDescent="0.3">
      <c r="B84" s="9" t="s">
        <v>195</v>
      </c>
      <c r="C84" s="115"/>
      <c r="D84" s="115"/>
      <c r="E84" s="127"/>
      <c r="F84" s="27">
        <v>635</v>
      </c>
      <c r="G84" s="77">
        <f t="shared" si="20"/>
        <v>635</v>
      </c>
      <c r="H84" s="63"/>
      <c r="I84" s="63"/>
      <c r="J84" s="64">
        <f t="shared" si="21"/>
        <v>635</v>
      </c>
    </row>
    <row r="85" spans="2:14" ht="15.75" thickBot="1" x14ac:dyDescent="0.3">
      <c r="B85" s="9" t="s">
        <v>27</v>
      </c>
      <c r="C85" s="115">
        <f>834535+535307+206476+873834+337050+430067+665103+71553</f>
        <v>3953925</v>
      </c>
      <c r="D85" s="115"/>
      <c r="E85" s="127"/>
      <c r="F85" s="27"/>
      <c r="G85" s="17">
        <f t="shared" si="20"/>
        <v>3953925</v>
      </c>
      <c r="H85" s="63">
        <f>2600895-873834-337050-430067-206476-535305</f>
        <v>218163</v>
      </c>
      <c r="I85" s="63">
        <f>174830+549403</f>
        <v>724233</v>
      </c>
      <c r="J85" s="64">
        <f t="shared" si="21"/>
        <v>4896321</v>
      </c>
    </row>
    <row r="86" spans="2:14" ht="15.75" thickBot="1" x14ac:dyDescent="0.3">
      <c r="B86" s="9" t="s">
        <v>135</v>
      </c>
      <c r="C86" s="115"/>
      <c r="D86" s="115"/>
      <c r="E86" s="128"/>
      <c r="F86" s="27"/>
      <c r="G86" s="17">
        <f t="shared" si="20"/>
        <v>0</v>
      </c>
      <c r="H86" s="63"/>
      <c r="I86" s="63"/>
      <c r="J86" s="64">
        <f t="shared" si="21"/>
        <v>0</v>
      </c>
    </row>
    <row r="87" spans="2:14" ht="16.350000000000001" customHeight="1" thickBot="1" x14ac:dyDescent="0.3">
      <c r="B87" s="181" t="s">
        <v>43</v>
      </c>
      <c r="C87" s="139" t="s">
        <v>56</v>
      </c>
      <c r="D87" s="139"/>
      <c r="E87" s="139"/>
      <c r="F87" s="139"/>
      <c r="G87" s="40">
        <f>G62</f>
        <v>1972234</v>
      </c>
      <c r="H87" s="193">
        <f>SUM(G87:G90)</f>
        <v>7410207</v>
      </c>
      <c r="I87" s="195" t="s">
        <v>141</v>
      </c>
      <c r="J87" s="195"/>
    </row>
    <row r="88" spans="2:14" ht="41.1" customHeight="1" thickBot="1" x14ac:dyDescent="0.3">
      <c r="B88" s="192"/>
      <c r="C88" s="139" t="s">
        <v>104</v>
      </c>
      <c r="D88" s="139"/>
      <c r="E88" s="139"/>
      <c r="F88" s="152"/>
      <c r="G88" s="40">
        <f>G66</f>
        <v>371168</v>
      </c>
      <c r="H88" s="194"/>
      <c r="I88" s="196"/>
      <c r="J88" s="196"/>
      <c r="M88" s="95"/>
      <c r="N88" s="95"/>
    </row>
    <row r="89" spans="2:14" ht="29.25" customHeight="1" thickBot="1" x14ac:dyDescent="0.3">
      <c r="B89" s="192"/>
      <c r="C89" s="139" t="s">
        <v>55</v>
      </c>
      <c r="D89" s="139"/>
      <c r="E89" s="139"/>
      <c r="F89" s="152"/>
      <c r="G89" s="40">
        <f>G72</f>
        <v>588148</v>
      </c>
      <c r="H89" s="194"/>
      <c r="I89" s="197"/>
      <c r="J89" s="197"/>
      <c r="L89" s="116">
        <v>7410207</v>
      </c>
      <c r="M89" s="108"/>
    </row>
    <row r="90" spans="2:14" ht="20.25" customHeight="1" thickBot="1" x14ac:dyDescent="0.3">
      <c r="B90" s="169"/>
      <c r="C90" s="139" t="s">
        <v>60</v>
      </c>
      <c r="D90" s="139"/>
      <c r="E90" s="139"/>
      <c r="F90" s="139"/>
      <c r="G90" s="42">
        <f>G77</f>
        <v>4478657</v>
      </c>
      <c r="H90" s="194"/>
      <c r="I90" s="198">
        <f>G95</f>
        <v>9324</v>
      </c>
      <c r="J90" s="198"/>
      <c r="M90" s="95"/>
    </row>
    <row r="91" spans="2:14" ht="10.35" customHeight="1" x14ac:dyDescent="0.25">
      <c r="B91" s="5"/>
      <c r="C91" s="13"/>
      <c r="D91" s="13"/>
      <c r="E91" s="13"/>
      <c r="F91" s="28"/>
      <c r="G91" s="16"/>
      <c r="H91" s="13"/>
      <c r="I91" s="13"/>
      <c r="J91" s="28"/>
    </row>
    <row r="92" spans="2:14" ht="9" customHeight="1" thickBot="1" x14ac:dyDescent="0.3">
      <c r="B92" s="5"/>
      <c r="C92" s="13"/>
      <c r="D92" s="13"/>
      <c r="E92" s="13"/>
      <c r="F92" s="28"/>
      <c r="G92" s="16"/>
      <c r="H92" s="13"/>
      <c r="I92" s="13"/>
      <c r="J92" s="28"/>
    </row>
    <row r="93" spans="2:14" ht="25.35" customHeight="1" thickBot="1" x14ac:dyDescent="0.3">
      <c r="B93" s="177" t="s">
        <v>196</v>
      </c>
      <c r="C93" s="177"/>
      <c r="D93" s="177"/>
      <c r="E93" s="177"/>
      <c r="F93" s="177"/>
      <c r="G93" s="177"/>
      <c r="H93" s="177"/>
      <c r="I93" s="177"/>
      <c r="J93" s="177"/>
    </row>
    <row r="94" spans="2:14" ht="45.75" thickBot="1" x14ac:dyDescent="0.3">
      <c r="B94" s="7" t="s">
        <v>32</v>
      </c>
      <c r="C94" s="38" t="s">
        <v>20</v>
      </c>
      <c r="D94" s="37" t="s">
        <v>58</v>
      </c>
      <c r="E94" s="37" t="s">
        <v>39</v>
      </c>
      <c r="F94" s="39" t="s">
        <v>37</v>
      </c>
      <c r="G94" s="39" t="s">
        <v>103</v>
      </c>
      <c r="H94" s="32"/>
      <c r="I94" s="32"/>
      <c r="J94" s="32"/>
      <c r="M94" s="96"/>
    </row>
    <row r="95" spans="2:14" ht="48.75" thickBot="1" x14ac:dyDescent="0.3">
      <c r="B95" s="59" t="s">
        <v>108</v>
      </c>
      <c r="C95" s="110" t="s">
        <v>10</v>
      </c>
      <c r="D95" s="75">
        <v>85000</v>
      </c>
      <c r="E95" s="23">
        <f>F17+F18+F19+F20+F22+F23+F29+F30+F32+F35+F36+F37+F38</f>
        <v>90426</v>
      </c>
      <c r="F95" s="19">
        <f>D95-E95</f>
        <v>-5426</v>
      </c>
      <c r="G95" s="140">
        <f>F95+F96+F99</f>
        <v>9324</v>
      </c>
      <c r="H95" s="33"/>
      <c r="I95" s="33"/>
      <c r="J95" s="33"/>
    </row>
    <row r="96" spans="2:14" ht="27.75" customHeight="1" thickBot="1" x14ac:dyDescent="0.3">
      <c r="B96" s="22" t="s">
        <v>109</v>
      </c>
      <c r="C96" s="190" t="s">
        <v>9</v>
      </c>
      <c r="D96" s="111">
        <f>150000-85000</f>
        <v>65000</v>
      </c>
      <c r="E96" s="190">
        <f>F9+F10+F12+F14+F15+F24+F25+F26+F28+F33+F41+F42+F43+F44+F53+F54+F55+F56+F58+F59+F60+F61+F67+F76+F69</f>
        <v>596750</v>
      </c>
      <c r="F96" s="190">
        <f>D96+D97+D98+D99+D100-E96</f>
        <v>14750</v>
      </c>
      <c r="G96" s="141"/>
      <c r="H96" s="33"/>
      <c r="I96" s="33"/>
      <c r="J96" s="33"/>
    </row>
    <row r="97" spans="2:10" ht="15.75" thickBot="1" x14ac:dyDescent="0.3">
      <c r="B97" s="22" t="s">
        <v>126</v>
      </c>
      <c r="C97" s="191"/>
      <c r="D97" s="111">
        <v>210000</v>
      </c>
      <c r="E97" s="206"/>
      <c r="F97" s="206"/>
      <c r="G97" s="141"/>
      <c r="H97" s="33"/>
      <c r="I97" s="33"/>
      <c r="J97" s="33"/>
    </row>
    <row r="98" spans="2:10" ht="15.75" thickBot="1" x14ac:dyDescent="0.3">
      <c r="B98" s="22" t="s">
        <v>125</v>
      </c>
      <c r="C98" s="191"/>
      <c r="D98" s="111">
        <v>330000</v>
      </c>
      <c r="E98" s="206"/>
      <c r="F98" s="206"/>
      <c r="G98" s="141"/>
      <c r="H98" s="33"/>
      <c r="I98" s="33"/>
      <c r="J98" s="33"/>
    </row>
    <row r="99" spans="2:10" ht="15.75" thickBot="1" x14ac:dyDescent="0.3">
      <c r="B99" s="22" t="s">
        <v>110</v>
      </c>
      <c r="C99" s="190" t="s">
        <v>19</v>
      </c>
      <c r="D99" s="115">
        <v>1500</v>
      </c>
      <c r="E99" s="206"/>
      <c r="F99" s="206"/>
      <c r="G99" s="141"/>
      <c r="H99" s="33"/>
      <c r="I99" s="33"/>
      <c r="J99" s="33"/>
    </row>
    <row r="100" spans="2:10" ht="15.75" thickBot="1" x14ac:dyDescent="0.3">
      <c r="B100" s="22" t="s">
        <v>31</v>
      </c>
      <c r="C100" s="191"/>
      <c r="D100" s="115">
        <v>5000</v>
      </c>
      <c r="E100" s="205"/>
      <c r="F100" s="205"/>
      <c r="G100" s="141"/>
      <c r="H100" s="33"/>
      <c r="I100" s="33"/>
      <c r="J100" s="33"/>
    </row>
    <row r="101" spans="2:10" ht="30.6" customHeight="1" thickBot="1" x14ac:dyDescent="0.3">
      <c r="B101" s="189" t="s">
        <v>63</v>
      </c>
      <c r="C101" s="189"/>
      <c r="D101" s="85">
        <f>SUM(D95:D100)</f>
        <v>696500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419392</v>
      </c>
      <c r="F103" s="133" t="s">
        <v>137</v>
      </c>
      <c r="G103" s="134"/>
      <c r="H103" s="134"/>
      <c r="I103" s="134"/>
      <c r="J103" s="134"/>
    </row>
    <row r="104" spans="2:10" ht="15.75" thickBot="1" x14ac:dyDescent="0.3">
      <c r="B104" s="148" t="s">
        <v>112</v>
      </c>
      <c r="C104" s="148"/>
      <c r="D104" s="148"/>
      <c r="E104" s="57">
        <f>G11</f>
        <v>277151</v>
      </c>
      <c r="F104" s="135"/>
      <c r="G104" s="136"/>
      <c r="H104" s="136"/>
      <c r="I104" s="136"/>
      <c r="J104" s="136"/>
    </row>
    <row r="105" spans="2:10" ht="15.75" thickBot="1" x14ac:dyDescent="0.3">
      <c r="B105" s="148" t="s">
        <v>113</v>
      </c>
      <c r="C105" s="148"/>
      <c r="D105" s="148"/>
      <c r="E105" s="57">
        <f>G16</f>
        <v>564278</v>
      </c>
      <c r="F105" s="135"/>
      <c r="G105" s="136"/>
      <c r="H105" s="136"/>
      <c r="I105" s="136"/>
      <c r="J105" s="136"/>
    </row>
    <row r="106" spans="2:10" ht="31.35" customHeight="1" thickBot="1" x14ac:dyDescent="0.3">
      <c r="B106" s="148" t="s">
        <v>114</v>
      </c>
      <c r="C106" s="148"/>
      <c r="D106" s="148"/>
      <c r="E106" s="57">
        <f>G21</f>
        <v>141564</v>
      </c>
      <c r="F106" s="135"/>
      <c r="G106" s="136"/>
      <c r="H106" s="136"/>
      <c r="I106" s="136"/>
      <c r="J106" s="136"/>
    </row>
    <row r="107" spans="2:10" ht="15.75" thickBot="1" x14ac:dyDescent="0.3">
      <c r="B107" s="148" t="s">
        <v>115</v>
      </c>
      <c r="C107" s="148"/>
      <c r="D107" s="148"/>
      <c r="E107" s="57">
        <f>G27</f>
        <v>45147</v>
      </c>
      <c r="F107" s="137"/>
      <c r="G107" s="138"/>
      <c r="H107" s="138"/>
      <c r="I107" s="138"/>
      <c r="J107" s="138"/>
    </row>
    <row r="108" spans="2:10" ht="15.75" thickBot="1" x14ac:dyDescent="0.3">
      <c r="B108" s="148" t="s">
        <v>116</v>
      </c>
      <c r="C108" s="148"/>
      <c r="D108" s="148"/>
      <c r="E108" s="57">
        <f>G31</f>
        <v>293492</v>
      </c>
      <c r="F108" s="132" t="s">
        <v>185</v>
      </c>
      <c r="G108" s="132"/>
      <c r="H108" s="132"/>
      <c r="I108" s="132"/>
      <c r="J108" s="132"/>
    </row>
    <row r="109" spans="2:10" ht="33" customHeight="1" thickBot="1" x14ac:dyDescent="0.3">
      <c r="B109" s="148" t="s">
        <v>117</v>
      </c>
      <c r="C109" s="148"/>
      <c r="D109" s="148"/>
      <c r="E109" s="57">
        <f>G34</f>
        <v>31913</v>
      </c>
      <c r="F109" s="151" t="s">
        <v>121</v>
      </c>
      <c r="G109" s="149"/>
      <c r="H109" s="149"/>
      <c r="I109" s="150">
        <f>E113</f>
        <v>1972234</v>
      </c>
      <c r="J109" s="150"/>
    </row>
    <row r="110" spans="2:10" ht="15.75" thickBot="1" x14ac:dyDescent="0.3">
      <c r="B110" s="148" t="s">
        <v>118</v>
      </c>
      <c r="C110" s="148"/>
      <c r="D110" s="148"/>
      <c r="E110" s="57">
        <f>G40</f>
        <v>161925</v>
      </c>
      <c r="F110" s="149" t="s">
        <v>122</v>
      </c>
      <c r="G110" s="149"/>
      <c r="H110" s="149"/>
      <c r="I110" s="150">
        <f>G66</f>
        <v>371168</v>
      </c>
      <c r="J110" s="150"/>
    </row>
    <row r="111" spans="2:10" ht="26.45" customHeight="1" thickBot="1" x14ac:dyDescent="0.3">
      <c r="B111" s="148" t="s">
        <v>119</v>
      </c>
      <c r="C111" s="148"/>
      <c r="D111" s="148"/>
      <c r="E111" s="57">
        <f>G52</f>
        <v>25372</v>
      </c>
      <c r="F111" s="149" t="s">
        <v>123</v>
      </c>
      <c r="G111" s="149"/>
      <c r="H111" s="149"/>
      <c r="I111" s="150">
        <f>G72</f>
        <v>588148</v>
      </c>
      <c r="J111" s="150"/>
    </row>
    <row r="112" spans="2:10" ht="29.1" customHeight="1" thickBot="1" x14ac:dyDescent="0.3">
      <c r="B112" s="148" t="s">
        <v>120</v>
      </c>
      <c r="C112" s="148"/>
      <c r="D112" s="148"/>
      <c r="E112" s="57">
        <f>G57</f>
        <v>12000</v>
      </c>
      <c r="F112" s="149" t="s">
        <v>124</v>
      </c>
      <c r="G112" s="149"/>
      <c r="H112" s="149"/>
      <c r="I112" s="150">
        <f>G77</f>
        <v>4478657</v>
      </c>
      <c r="J112" s="150"/>
    </row>
    <row r="113" spans="2:10" ht="15.75" thickBot="1" x14ac:dyDescent="0.3">
      <c r="B113" s="142" t="s">
        <v>30</v>
      </c>
      <c r="C113" s="142"/>
      <c r="D113" s="142"/>
      <c r="E113" s="58">
        <f>SUM(E103:E112)</f>
        <v>1972234</v>
      </c>
      <c r="F113" s="143" t="s">
        <v>54</v>
      </c>
      <c r="G113" s="143"/>
      <c r="H113" s="143"/>
      <c r="I113" s="144">
        <f>SUM(I109:J112)</f>
        <v>7410207</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2">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C89:F89"/>
    <mergeCell ref="C90:F90"/>
    <mergeCell ref="I90:J90"/>
    <mergeCell ref="B93:J93"/>
    <mergeCell ref="G95:G100"/>
    <mergeCell ref="C96:C98"/>
    <mergeCell ref="E96:E100"/>
    <mergeCell ref="F96:F100"/>
    <mergeCell ref="C99:C100"/>
    <mergeCell ref="B87:B90"/>
    <mergeCell ref="C87:F87"/>
    <mergeCell ref="H87:H90"/>
    <mergeCell ref="I87:J89"/>
    <mergeCell ref="C88:F88"/>
    <mergeCell ref="H72:J72"/>
    <mergeCell ref="H73:H76"/>
    <mergeCell ref="I73:I76"/>
    <mergeCell ref="J73:J76"/>
    <mergeCell ref="E78:E86"/>
    <mergeCell ref="H70:J71"/>
    <mergeCell ref="E13:F13"/>
    <mergeCell ref="C41:C44"/>
    <mergeCell ref="B47:J47"/>
    <mergeCell ref="B48:B50"/>
    <mergeCell ref="C48:I48"/>
    <mergeCell ref="C49:H49"/>
    <mergeCell ref="I49:J49"/>
    <mergeCell ref="C50:F50"/>
    <mergeCell ref="G50:I50"/>
    <mergeCell ref="B63:F63"/>
    <mergeCell ref="H63:J63"/>
    <mergeCell ref="C64:F64"/>
    <mergeCell ref="G64:J64"/>
    <mergeCell ref="H65:J69"/>
    <mergeCell ref="B2:J2"/>
    <mergeCell ref="B3:J3"/>
    <mergeCell ref="B4:B6"/>
    <mergeCell ref="C4:I4"/>
    <mergeCell ref="C5:H5"/>
    <mergeCell ref="I5:J5"/>
    <mergeCell ref="C6:F6"/>
    <mergeCell ref="G6:I6"/>
  </mergeCells>
  <pageMargins left="0.25" right="0.25" top="0.75" bottom="0.75" header="0.3" footer="0.3"/>
  <pageSetup paperSize="8" scale="95" fitToHeight="0" orientation="portrait" r:id="rId1"/>
  <rowBreaks count="2" manualBreakCount="2">
    <brk id="45" max="10" man="1"/>
    <brk id="9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60"/>
  <sheetViews>
    <sheetView topLeftCell="A70"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154</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38850</v>
      </c>
      <c r="E8" s="14" t="s">
        <v>40</v>
      </c>
      <c r="F8" s="26">
        <f>G8-C8-D8</f>
        <v>160547</v>
      </c>
      <c r="G8" s="56">
        <f t="shared" ref="G8:G19" si="0">H8+I8</f>
        <v>330564</v>
      </c>
      <c r="H8" s="10">
        <f>SUM(H9:H10)</f>
        <v>314534</v>
      </c>
      <c r="I8" s="10">
        <f t="shared" ref="I8:J8" si="1">SUM(I9:I10)</f>
        <v>16030</v>
      </c>
      <c r="J8" s="79">
        <f t="shared" si="1"/>
        <v>0</v>
      </c>
    </row>
    <row r="9" spans="2:10" ht="15.75" thickBot="1" x14ac:dyDescent="0.3">
      <c r="B9" s="9" t="s">
        <v>66</v>
      </c>
      <c r="C9" s="68">
        <f>122645+1080+7442</f>
        <v>131167</v>
      </c>
      <c r="D9" s="68">
        <f>2000+1741+7000+290+6593</f>
        <v>17624</v>
      </c>
      <c r="E9" s="15" t="s">
        <v>9</v>
      </c>
      <c r="F9" s="27">
        <f>G9-C9-D9</f>
        <v>123428</v>
      </c>
      <c r="G9" s="77">
        <f t="shared" si="0"/>
        <v>272219</v>
      </c>
      <c r="H9" s="68">
        <f>247806+8383</f>
        <v>256189</v>
      </c>
      <c r="I9" s="68">
        <v>16030</v>
      </c>
      <c r="J9" s="80"/>
    </row>
    <row r="10" spans="2:10" ht="15.75" thickBot="1" x14ac:dyDescent="0.3">
      <c r="B10" s="9" t="s">
        <v>67</v>
      </c>
      <c r="C10" s="11"/>
      <c r="D10" s="68">
        <f>630+500+19836+260</f>
        <v>21226</v>
      </c>
      <c r="E10" s="15" t="s">
        <v>9</v>
      </c>
      <c r="F10" s="27">
        <f>G10-C10-D10</f>
        <v>37119</v>
      </c>
      <c r="G10" s="17">
        <f t="shared" si="0"/>
        <v>58345</v>
      </c>
      <c r="H10" s="68">
        <f>47046+6299+5000</f>
        <v>58345</v>
      </c>
      <c r="I10" s="68"/>
      <c r="J10" s="80"/>
    </row>
    <row r="11" spans="2:10" ht="26.25" thickBot="1" x14ac:dyDescent="0.3">
      <c r="B11" s="8" t="s">
        <v>12</v>
      </c>
      <c r="C11" s="10">
        <f>SUM(C12:C14)</f>
        <v>17350</v>
      </c>
      <c r="D11" s="10">
        <f>SUM(D12:D14)</f>
        <v>47872</v>
      </c>
      <c r="E11" s="14" t="s">
        <v>9</v>
      </c>
      <c r="F11" s="26">
        <f>G11-C11-D11</f>
        <v>38655</v>
      </c>
      <c r="G11" s="56">
        <f t="shared" si="0"/>
        <v>103877</v>
      </c>
      <c r="H11" s="10">
        <f>SUM(H12:H14)</f>
        <v>102139</v>
      </c>
      <c r="I11" s="10">
        <f t="shared" ref="I11:J11" si="2">SUM(I12:I14)</f>
        <v>1738</v>
      </c>
      <c r="J11" s="79">
        <f t="shared" si="2"/>
        <v>0</v>
      </c>
    </row>
    <row r="12" spans="2:10" ht="26.25" thickBot="1" x14ac:dyDescent="0.3">
      <c r="B12" s="9" t="s">
        <v>101</v>
      </c>
      <c r="C12" s="68">
        <v>17350</v>
      </c>
      <c r="D12" s="68">
        <f>42+7</f>
        <v>49</v>
      </c>
      <c r="E12" s="15" t="s">
        <v>9</v>
      </c>
      <c r="F12" s="27">
        <f>G12-C12-D12-(D13-H13)</f>
        <v>22037</v>
      </c>
      <c r="G12" s="17">
        <f t="shared" si="0"/>
        <v>43291</v>
      </c>
      <c r="H12" s="11">
        <f>12160+14215+9049-1738+2451+5072+7+337</f>
        <v>41553</v>
      </c>
      <c r="I12" s="11">
        <v>1738</v>
      </c>
      <c r="J12" s="80"/>
    </row>
    <row r="13" spans="2:10" ht="30" customHeight="1" thickBot="1" x14ac:dyDescent="0.3">
      <c r="B13" s="9" t="s">
        <v>102</v>
      </c>
      <c r="C13" s="11"/>
      <c r="D13" s="68">
        <f>13762+10360+2191-5290</f>
        <v>21023</v>
      </c>
      <c r="E13" s="186" t="s">
        <v>138</v>
      </c>
      <c r="F13" s="187"/>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324239</v>
      </c>
      <c r="D15" s="10">
        <f>SUM(D16:D19)</f>
        <v>42334</v>
      </c>
      <c r="E15" s="14" t="s">
        <v>35</v>
      </c>
      <c r="F15" s="26">
        <f>G15-C15-D15</f>
        <v>71503</v>
      </c>
      <c r="G15" s="56">
        <f t="shared" si="0"/>
        <v>438076</v>
      </c>
      <c r="H15" s="10">
        <f>SUM(H16:H19)</f>
        <v>391676</v>
      </c>
      <c r="I15" s="10">
        <f>SUM(I16:I19)</f>
        <v>46400</v>
      </c>
      <c r="J15" s="79">
        <f>SUM(J16:J19)</f>
        <v>74742</v>
      </c>
    </row>
    <row r="16" spans="2:10" ht="15.75" thickBot="1" x14ac:dyDescent="0.3">
      <c r="B16" s="9" t="s">
        <v>69</v>
      </c>
      <c r="C16" s="68">
        <f>205616+25023</f>
        <v>230639</v>
      </c>
      <c r="D16" s="11">
        <v>4232</v>
      </c>
      <c r="E16" s="15" t="s">
        <v>10</v>
      </c>
      <c r="F16" s="27">
        <f>G16-C16-D16</f>
        <v>42698</v>
      </c>
      <c r="G16" s="17">
        <f t="shared" si="0"/>
        <v>277569</v>
      </c>
      <c r="H16" s="68">
        <f>228301+4413</f>
        <v>232714</v>
      </c>
      <c r="I16" s="68">
        <f>9442+27726+158+7486+43</f>
        <v>44855</v>
      </c>
      <c r="J16" s="80"/>
    </row>
    <row r="17" spans="2:10" ht="32.1" customHeight="1" thickBot="1" x14ac:dyDescent="0.3">
      <c r="B17" s="9" t="s">
        <v>70</v>
      </c>
      <c r="C17" s="68">
        <f>32026</f>
        <v>32026</v>
      </c>
      <c r="D17" s="68">
        <v>8116</v>
      </c>
      <c r="E17" s="15" t="s">
        <v>10</v>
      </c>
      <c r="F17" s="27">
        <f>G17-C17-D17</f>
        <v>8567</v>
      </c>
      <c r="G17" s="17">
        <f t="shared" si="0"/>
        <v>48709</v>
      </c>
      <c r="H17" s="68">
        <v>48709</v>
      </c>
      <c r="I17" s="68"/>
      <c r="J17" s="80"/>
    </row>
    <row r="18" spans="2:10" ht="26.25" thickBot="1" x14ac:dyDescent="0.3">
      <c r="B18" s="9" t="s">
        <v>71</v>
      </c>
      <c r="C18" s="68">
        <f>61574</f>
        <v>61574</v>
      </c>
      <c r="D18" s="68">
        <f>26666+3320</f>
        <v>29986</v>
      </c>
      <c r="E18" s="15" t="s">
        <v>10</v>
      </c>
      <c r="F18" s="69">
        <f t="shared" ref="F18:F19" si="3">G18-C18-D18</f>
        <v>18693</v>
      </c>
      <c r="G18" s="17">
        <f t="shared" si="0"/>
        <v>110253</v>
      </c>
      <c r="H18" s="68">
        <v>110253</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175363</v>
      </c>
      <c r="D30" s="10">
        <f>SUM(D31:D34)</f>
        <v>0</v>
      </c>
      <c r="E30" s="14" t="s">
        <v>9</v>
      </c>
      <c r="F30" s="26">
        <f>G30-C30-D30</f>
        <v>20220</v>
      </c>
      <c r="G30" s="56">
        <f>H30+I30</f>
        <v>195583</v>
      </c>
      <c r="H30" s="10">
        <f>SUM(H31:H34)</f>
        <v>195583</v>
      </c>
      <c r="I30" s="10">
        <f>SUM(I31:I34)</f>
        <v>0</v>
      </c>
      <c r="J30" s="79">
        <f>SUM(J31:J34)</f>
        <v>0</v>
      </c>
    </row>
    <row r="31" spans="2:10" ht="26.25" thickBot="1" x14ac:dyDescent="0.3">
      <c r="B31" s="9" t="s">
        <v>133</v>
      </c>
      <c r="C31" s="155">
        <v>7397</v>
      </c>
      <c r="D31" s="11"/>
      <c r="E31" s="15" t="s">
        <v>9</v>
      </c>
      <c r="F31" s="171">
        <f>(G31+G32)-C31</f>
        <v>12917</v>
      </c>
      <c r="G31" s="17">
        <f>H31+I31</f>
        <v>17195</v>
      </c>
      <c r="H31" s="68">
        <f>4278+5000+7917</f>
        <v>17195</v>
      </c>
      <c r="I31" s="11"/>
      <c r="J31" s="80"/>
    </row>
    <row r="32" spans="2:10" ht="39" thickBot="1" x14ac:dyDescent="0.3">
      <c r="B32" s="9" t="s">
        <v>79</v>
      </c>
      <c r="C32" s="156"/>
      <c r="D32" s="11"/>
      <c r="E32" s="15" t="s">
        <v>9</v>
      </c>
      <c r="F32" s="172"/>
      <c r="G32" s="17">
        <f t="shared" ref="G32" si="9">H32+I32</f>
        <v>3119</v>
      </c>
      <c r="H32" s="87">
        <v>3119</v>
      </c>
      <c r="I32" s="11"/>
      <c r="J32" s="80"/>
    </row>
    <row r="33" spans="2:10" ht="39" thickBot="1" x14ac:dyDescent="0.3">
      <c r="B33" s="9" t="s">
        <v>128</v>
      </c>
      <c r="C33" s="68">
        <f>139331+28573</f>
        <v>167904</v>
      </c>
      <c r="D33" s="11"/>
      <c r="E33" s="15" t="s">
        <v>9</v>
      </c>
      <c r="F33" s="27">
        <f>G33-C33-D33</f>
        <v>7303</v>
      </c>
      <c r="G33" s="17">
        <f>H33+I33</f>
        <v>175207</v>
      </c>
      <c r="H33" s="68">
        <f>139331+11995+28573-4692</f>
        <v>175207</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26874</v>
      </c>
      <c r="G35" s="56">
        <f>H35+I35</f>
        <v>53418</v>
      </c>
      <c r="H35" s="10">
        <f>SUM(H36:H39)</f>
        <v>36707</v>
      </c>
      <c r="I35" s="10">
        <f t="shared" ref="I35:J35" si="12">SUM(I36:I39)</f>
        <v>16711</v>
      </c>
      <c r="J35" s="79">
        <f t="shared" si="12"/>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6166</v>
      </c>
      <c r="G39" s="17">
        <f t="shared" si="14"/>
        <v>6166</v>
      </c>
      <c r="H39" s="68">
        <f>5005+1161</f>
        <v>6166</v>
      </c>
      <c r="I39" s="68"/>
      <c r="J39" s="80"/>
    </row>
    <row r="40" spans="2:10" ht="15.75" thickBot="1" x14ac:dyDescent="0.3">
      <c r="B40" s="8" t="s">
        <v>17</v>
      </c>
      <c r="C40" s="10">
        <f>SUM(C41:C44)</f>
        <v>18964</v>
      </c>
      <c r="D40" s="10">
        <f>SUM(D41:D44)</f>
        <v>0</v>
      </c>
      <c r="E40" s="14" t="s">
        <v>9</v>
      </c>
      <c r="F40" s="26">
        <f>G40-C40-D40</f>
        <v>80179</v>
      </c>
      <c r="G40" s="56">
        <f>H40+I40</f>
        <v>99143</v>
      </c>
      <c r="H40" s="10">
        <f>SUM(H41:H44)</f>
        <v>1289</v>
      </c>
      <c r="I40" s="10">
        <f>SUM(I41:I44)</f>
        <v>97854</v>
      </c>
      <c r="J40" s="79">
        <f>SUM(J41:J44)</f>
        <v>4760</v>
      </c>
    </row>
    <row r="41" spans="2:10" ht="39" thickBot="1" x14ac:dyDescent="0.3">
      <c r="B41" s="9" t="s">
        <v>129</v>
      </c>
      <c r="C41" s="155">
        <f>12889+6075</f>
        <v>18964</v>
      </c>
      <c r="D41" s="11"/>
      <c r="E41" s="15" t="s">
        <v>9</v>
      </c>
      <c r="F41" s="27">
        <f>G41-C41-D41</f>
        <v>39729</v>
      </c>
      <c r="G41" s="17">
        <f>H41+I41</f>
        <v>58693</v>
      </c>
      <c r="H41" s="68"/>
      <c r="I41" s="68">
        <v>58693</v>
      </c>
      <c r="J41" s="80">
        <v>2372</v>
      </c>
    </row>
    <row r="42" spans="2:10" ht="15.75" thickBot="1" x14ac:dyDescent="0.3">
      <c r="B42" s="9" t="s">
        <v>85</v>
      </c>
      <c r="C42" s="157"/>
      <c r="D42" s="11"/>
      <c r="E42" s="15" t="s">
        <v>9</v>
      </c>
      <c r="F42" s="27">
        <f>G42-C42-D42</f>
        <v>11000</v>
      </c>
      <c r="G42" s="17">
        <f>H42+I42</f>
        <v>11000</v>
      </c>
      <c r="H42" s="68"/>
      <c r="I42" s="68">
        <v>11000</v>
      </c>
      <c r="J42" s="80"/>
    </row>
    <row r="43" spans="2:10" ht="26.25" thickBot="1" x14ac:dyDescent="0.3">
      <c r="B43" s="9" t="s">
        <v>86</v>
      </c>
      <c r="C43" s="157"/>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56"/>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154</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19200</v>
      </c>
      <c r="G52" s="56">
        <f>H52+I52</f>
        <v>19200</v>
      </c>
      <c r="H52" s="10">
        <f>SUM(H53:H56)</f>
        <v>19200</v>
      </c>
      <c r="I52" s="10">
        <f>SUM(I53:I56)</f>
        <v>0</v>
      </c>
      <c r="J52" s="79">
        <f>SUM(J53:J56)</f>
        <v>0</v>
      </c>
    </row>
    <row r="53" spans="2:10" ht="26.25" thickBot="1" x14ac:dyDescent="0.3">
      <c r="B53" s="9" t="s">
        <v>88</v>
      </c>
      <c r="C53" s="11"/>
      <c r="D53" s="11"/>
      <c r="E53" s="15" t="s">
        <v>19</v>
      </c>
      <c r="F53" s="27">
        <f>G53-C53-D53</f>
        <v>5800</v>
      </c>
      <c r="G53" s="17">
        <f>H53+I53</f>
        <v>5800</v>
      </c>
      <c r="H53" s="68">
        <f>4000+1800</f>
        <v>5800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10800</v>
      </c>
      <c r="G55" s="17">
        <f>H55+I55</f>
        <v>10800</v>
      </c>
      <c r="H55" s="68">
        <f>4800+6000</f>
        <v>10800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764745</v>
      </c>
      <c r="D62" s="21">
        <f>D57+D52+D40+D35+D30+D26+D20+D15+D11+D8</f>
        <v>129056</v>
      </c>
      <c r="E62" s="43"/>
      <c r="F62" s="31">
        <f t="shared" si="22"/>
        <v>499144</v>
      </c>
      <c r="G62" s="44">
        <f>G57+G52+G40+G35+G30+G26+G20+G15+G11+G8</f>
        <v>1392945</v>
      </c>
      <c r="H62" s="21">
        <f>H57+H52+H40+H35+H30+H26+H20+H15+H11+H8</f>
        <v>1071128</v>
      </c>
      <c r="I62" s="45">
        <f>I57+I52+I40+I35+I30+I26+I20+I15+I11+I8</f>
        <v>321817</v>
      </c>
      <c r="J62" s="46">
        <f>J57+J52+J40+J35+J30+J26+J20+J15+J11+J8</f>
        <v>278908</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312435</v>
      </c>
      <c r="D66" s="10">
        <f>SUM(D67:D70)</f>
        <v>174046</v>
      </c>
      <c r="E66" s="14"/>
      <c r="F66" s="10">
        <f>SUM(F67:F70)</f>
        <v>26356</v>
      </c>
      <c r="G66" s="86">
        <f>SUM(G67:G70)</f>
        <v>135373</v>
      </c>
      <c r="H66" s="162"/>
      <c r="I66" s="163"/>
      <c r="J66" s="163"/>
    </row>
    <row r="67" spans="2:10" ht="45.75" thickBot="1" x14ac:dyDescent="0.3">
      <c r="B67" s="9" t="s">
        <v>95</v>
      </c>
      <c r="C67" s="11"/>
      <c r="D67" s="11"/>
      <c r="E67" s="66" t="s">
        <v>50</v>
      </c>
      <c r="F67" s="27">
        <f>10000-7981</f>
        <v>2019</v>
      </c>
      <c r="G67" s="77">
        <f>C67+D67+F67</f>
        <v>2019</v>
      </c>
      <c r="H67" s="162"/>
      <c r="I67" s="163"/>
      <c r="J67" s="163"/>
    </row>
    <row r="68" spans="2:10" ht="45.75" thickBot="1" x14ac:dyDescent="0.3">
      <c r="B68" s="9" t="s">
        <v>96</v>
      </c>
      <c r="C68" s="11">
        <v>33790</v>
      </c>
      <c r="D68" s="68">
        <f>19591+5290</f>
        <v>24881</v>
      </c>
      <c r="E68" s="66" t="s">
        <v>47</v>
      </c>
      <c r="F68" s="27"/>
      <c r="G68" s="77">
        <f>C68+D68+F68-F75</f>
        <v>42616</v>
      </c>
      <c r="H68" s="162"/>
      <c r="I68" s="163"/>
      <c r="J68" s="163"/>
    </row>
    <row r="69" spans="2:10" ht="45.75" thickBot="1" x14ac:dyDescent="0.3">
      <c r="B69" s="9" t="s">
        <v>97</v>
      </c>
      <c r="C69" s="11">
        <f>18710</f>
        <v>18710</v>
      </c>
      <c r="D69" s="11"/>
      <c r="E69" s="66" t="s">
        <v>150</v>
      </c>
      <c r="F69" s="27"/>
      <c r="G69" s="77">
        <f t="shared" ref="G69" si="24">C69+D69+F69</f>
        <v>18710</v>
      </c>
      <c r="H69" s="164"/>
      <c r="I69" s="165"/>
      <c r="J69" s="165"/>
    </row>
    <row r="70" spans="2:10" ht="44.1" customHeight="1" thickBot="1" x14ac:dyDescent="0.3">
      <c r="B70" s="9" t="s">
        <v>107</v>
      </c>
      <c r="C70" s="11">
        <f>286735-26800</f>
        <v>259935</v>
      </c>
      <c r="D70" s="68">
        <f>13350+5947+80000+2000+1000+12029+720+960+5000+259+27900</f>
        <v>149165</v>
      </c>
      <c r="E70" s="66" t="s">
        <v>148</v>
      </c>
      <c r="F70" s="83">
        <f>G95</f>
        <v>24337</v>
      </c>
      <c r="G70" s="77">
        <f>C70+D70+F70-F73-F74-F78-F79-F80-F81-F82-F83-F84-F85-F86</f>
        <v>72028</v>
      </c>
      <c r="H70" s="173" t="s">
        <v>149</v>
      </c>
      <c r="I70" s="174"/>
      <c r="J70" s="174"/>
    </row>
    <row r="71" spans="2:10" ht="34.3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0</v>
      </c>
      <c r="E72" s="14"/>
      <c r="F72" s="26">
        <f>SUM(F73:F76)</f>
        <v>162500</v>
      </c>
      <c r="G72" s="56">
        <f>SUM(C72+D72+F72)</f>
        <v>162500</v>
      </c>
      <c r="H72" s="158" t="s">
        <v>131</v>
      </c>
      <c r="I72" s="159"/>
      <c r="J72" s="159"/>
    </row>
    <row r="73" spans="2:10" ht="27" customHeight="1" thickBot="1" x14ac:dyDescent="0.3">
      <c r="B73" s="9" t="s">
        <v>98</v>
      </c>
      <c r="C73" s="11"/>
      <c r="D73" s="11"/>
      <c r="E73" s="66" t="s">
        <v>51</v>
      </c>
      <c r="F73" s="69">
        <f>19341+2663+63503+49938</f>
        <v>135445</v>
      </c>
      <c r="G73" s="17">
        <f t="shared" ref="G73:G76" si="25">SUM(C73+D73+F73)</f>
        <v>135445</v>
      </c>
      <c r="H73" s="129" t="s">
        <v>53</v>
      </c>
      <c r="I73" s="129" t="s">
        <v>64</v>
      </c>
      <c r="J73" s="129" t="s">
        <v>132</v>
      </c>
    </row>
    <row r="74" spans="2:10" ht="26.25" thickBot="1" x14ac:dyDescent="0.3">
      <c r="B74" s="9" t="s">
        <v>106</v>
      </c>
      <c r="C74" s="11"/>
      <c r="D74" s="11"/>
      <c r="E74" s="66" t="s">
        <v>51</v>
      </c>
      <c r="F74" s="69">
        <v>3000</v>
      </c>
      <c r="G74" s="77">
        <f t="shared" si="25"/>
        <v>3000</v>
      </c>
      <c r="H74" s="130"/>
      <c r="I74" s="130"/>
      <c r="J74" s="130"/>
    </row>
    <row r="75" spans="2:10" ht="26.25" thickBot="1" x14ac:dyDescent="0.3">
      <c r="B75" s="9" t="s">
        <v>99</v>
      </c>
      <c r="C75" s="11"/>
      <c r="D75" s="11"/>
      <c r="E75" s="66" t="s">
        <v>152</v>
      </c>
      <c r="F75" s="69">
        <v>16055</v>
      </c>
      <c r="G75" s="77">
        <f t="shared" si="25"/>
        <v>16055</v>
      </c>
      <c r="H75" s="130"/>
      <c r="I75" s="130"/>
      <c r="J75" s="130"/>
    </row>
    <row r="76" spans="2:10" ht="26.25" thickBot="1" x14ac:dyDescent="0.3">
      <c r="B76" s="9" t="s">
        <v>100</v>
      </c>
      <c r="C76" s="11"/>
      <c r="D76" s="11"/>
      <c r="E76" s="66" t="s">
        <v>9</v>
      </c>
      <c r="F76" s="69">
        <v>8000</v>
      </c>
      <c r="G76" s="77">
        <f t="shared" si="25"/>
        <v>8000</v>
      </c>
      <c r="H76" s="131"/>
      <c r="I76" s="131"/>
      <c r="J76" s="131"/>
    </row>
    <row r="77" spans="2:10" ht="26.25" thickBot="1" x14ac:dyDescent="0.3">
      <c r="B77" s="8" t="s">
        <v>57</v>
      </c>
      <c r="C77" s="10">
        <f>SUM(C79:C86)</f>
        <v>288170</v>
      </c>
      <c r="D77" s="10">
        <f>SUM(D79:D86)</f>
        <v>40829</v>
      </c>
      <c r="E77" s="14"/>
      <c r="F77" s="10">
        <f>SUM(F78:F86)</f>
        <v>222964</v>
      </c>
      <c r="G77" s="56">
        <f>SUM(C77+D77+F77)</f>
        <v>551963</v>
      </c>
      <c r="H77" s="62">
        <f>SUM(H79:H86)</f>
        <v>790000</v>
      </c>
      <c r="I77" s="65">
        <f>SUM(I79:I86)</f>
        <v>103489</v>
      </c>
      <c r="J77" s="65">
        <f>SUM(J79:J86)</f>
        <v>1417488</v>
      </c>
    </row>
    <row r="78" spans="2:10" ht="46.35" customHeight="1" thickBot="1" x14ac:dyDescent="0.3">
      <c r="B78" s="9" t="s">
        <v>52</v>
      </c>
      <c r="C78" s="11"/>
      <c r="D78" s="11"/>
      <c r="E78" s="126" t="s">
        <v>151</v>
      </c>
      <c r="F78" s="27">
        <v>27964</v>
      </c>
      <c r="G78" s="17">
        <f t="shared" ref="G78" si="26">C78+D78+F78</f>
        <v>27964</v>
      </c>
      <c r="H78" s="63"/>
      <c r="I78" s="63"/>
      <c r="J78" s="64">
        <f>SUM(G78:I78)</f>
        <v>27964</v>
      </c>
    </row>
    <row r="79" spans="2:10" ht="15" customHeight="1" thickBot="1" x14ac:dyDescent="0.3">
      <c r="B79" s="9" t="s">
        <v>157</v>
      </c>
      <c r="C79" s="11"/>
      <c r="D79" s="11"/>
      <c r="E79" s="127"/>
      <c r="F79" s="27">
        <v>195000</v>
      </c>
      <c r="G79" s="17">
        <f t="shared" ref="G79:G86" si="27">C79+D79+F79</f>
        <v>195000</v>
      </c>
      <c r="H79" s="63"/>
      <c r="I79" s="63"/>
      <c r="J79" s="64">
        <f>SUM(G79:I79)</f>
        <v>195000</v>
      </c>
    </row>
    <row r="80" spans="2:10" ht="15.75" thickBot="1" x14ac:dyDescent="0.3">
      <c r="B80" s="9" t="s">
        <v>26</v>
      </c>
      <c r="C80" s="68">
        <v>238170</v>
      </c>
      <c r="D80" s="11"/>
      <c r="E80" s="127"/>
      <c r="F80" s="27"/>
      <c r="G80" s="77">
        <f t="shared" si="27"/>
        <v>238170</v>
      </c>
      <c r="H80" s="63"/>
      <c r="I80" s="63">
        <v>11830</v>
      </c>
      <c r="J80" s="64">
        <f t="shared" ref="J80:J86" si="28">SUM(G80:I80)</f>
        <v>250000</v>
      </c>
    </row>
    <row r="81" spans="2:10" ht="15.75" thickBot="1" x14ac:dyDescent="0.3">
      <c r="B81" s="9" t="s">
        <v>25</v>
      </c>
      <c r="C81" s="68">
        <v>50000</v>
      </c>
      <c r="D81" s="11"/>
      <c r="E81" s="127"/>
      <c r="F81" s="27"/>
      <c r="G81" s="77">
        <f t="shared" si="27"/>
        <v>50000</v>
      </c>
      <c r="H81" s="63">
        <v>790000</v>
      </c>
      <c r="I81" s="63"/>
      <c r="J81" s="64">
        <f t="shared" si="28"/>
        <v>840000</v>
      </c>
    </row>
    <row r="82" spans="2:10" ht="15.75" thickBot="1" x14ac:dyDescent="0.3">
      <c r="B82" s="9" t="s">
        <v>62</v>
      </c>
      <c r="C82" s="11"/>
      <c r="D82" s="11">
        <v>39536</v>
      </c>
      <c r="E82" s="127"/>
      <c r="F82" s="27"/>
      <c r="G82" s="77">
        <f t="shared" si="27"/>
        <v>39536</v>
      </c>
      <c r="H82" s="63"/>
      <c r="I82" s="63">
        <v>70216</v>
      </c>
      <c r="J82" s="64">
        <f t="shared" si="28"/>
        <v>109752</v>
      </c>
    </row>
    <row r="83" spans="2:10" ht="15.75" thickBot="1" x14ac:dyDescent="0.3">
      <c r="B83" s="9" t="s">
        <v>156</v>
      </c>
      <c r="C83" s="11"/>
      <c r="D83" s="11">
        <v>1293</v>
      </c>
      <c r="E83" s="127"/>
      <c r="F83" s="27"/>
      <c r="G83" s="77">
        <f t="shared" si="27"/>
        <v>1293</v>
      </c>
      <c r="H83" s="63"/>
      <c r="I83" s="63">
        <v>21443</v>
      </c>
      <c r="J83" s="64">
        <f t="shared" si="28"/>
        <v>22736</v>
      </c>
    </row>
    <row r="84" spans="2:10" ht="15.75" thickBot="1" x14ac:dyDescent="0.3">
      <c r="B84" s="9" t="s">
        <v>61</v>
      </c>
      <c r="C84" s="11"/>
      <c r="D84" s="11"/>
      <c r="E84" s="127"/>
      <c r="F84" s="27"/>
      <c r="G84" s="77">
        <f t="shared" si="27"/>
        <v>0</v>
      </c>
      <c r="H84" s="63"/>
      <c r="I84" s="63"/>
      <c r="J84" s="64">
        <f t="shared" si="28"/>
        <v>0</v>
      </c>
    </row>
    <row r="85" spans="2:10" ht="15.75" thickBot="1" x14ac:dyDescent="0.3">
      <c r="B85" s="9" t="s">
        <v>27</v>
      </c>
      <c r="C85" s="11"/>
      <c r="D85" s="11"/>
      <c r="E85" s="127"/>
      <c r="F85" s="27"/>
      <c r="G85" s="17">
        <f t="shared" si="27"/>
        <v>0</v>
      </c>
      <c r="H85" s="63"/>
      <c r="I85" s="63"/>
      <c r="J85" s="64">
        <f t="shared" si="28"/>
        <v>0</v>
      </c>
    </row>
    <row r="86" spans="2:10" ht="15.75" thickBot="1" x14ac:dyDescent="0.3">
      <c r="B86" s="9" t="s">
        <v>135</v>
      </c>
      <c r="C86" s="11"/>
      <c r="D86" s="11"/>
      <c r="E86" s="128"/>
      <c r="F86" s="27"/>
      <c r="G86" s="17">
        <f t="shared" si="27"/>
        <v>0</v>
      </c>
      <c r="H86" s="63"/>
      <c r="I86" s="63"/>
      <c r="J86" s="64">
        <f t="shared" si="28"/>
        <v>0</v>
      </c>
    </row>
    <row r="87" spans="2:10" ht="16.350000000000001" customHeight="1" thickBot="1" x14ac:dyDescent="0.3">
      <c r="B87" s="181" t="s">
        <v>43</v>
      </c>
      <c r="C87" s="139" t="s">
        <v>56</v>
      </c>
      <c r="D87" s="139"/>
      <c r="E87" s="139"/>
      <c r="F87" s="139"/>
      <c r="G87" s="40">
        <f>G62</f>
        <v>1392945</v>
      </c>
      <c r="H87" s="193">
        <f>SUM(G87:G90)</f>
        <v>2242781</v>
      </c>
      <c r="I87" s="195" t="s">
        <v>141</v>
      </c>
      <c r="J87" s="195"/>
    </row>
    <row r="88" spans="2:10" ht="41.1" customHeight="1" thickBot="1" x14ac:dyDescent="0.3">
      <c r="B88" s="192"/>
      <c r="C88" s="139" t="s">
        <v>104</v>
      </c>
      <c r="D88" s="139"/>
      <c r="E88" s="139"/>
      <c r="F88" s="152"/>
      <c r="G88" s="40">
        <f>G66</f>
        <v>135373</v>
      </c>
      <c r="H88" s="194"/>
      <c r="I88" s="196"/>
      <c r="J88" s="196"/>
    </row>
    <row r="89" spans="2:10" ht="16.350000000000001" customHeight="1" thickBot="1" x14ac:dyDescent="0.3">
      <c r="B89" s="192"/>
      <c r="C89" s="139" t="s">
        <v>55</v>
      </c>
      <c r="D89" s="139"/>
      <c r="E89" s="139"/>
      <c r="F89" s="152"/>
      <c r="G89" s="40">
        <f>G72</f>
        <v>162500</v>
      </c>
      <c r="H89" s="194"/>
      <c r="I89" s="197"/>
      <c r="J89" s="197"/>
    </row>
    <row r="90" spans="2:10" ht="19.350000000000001" customHeight="1" thickBot="1" x14ac:dyDescent="0.3">
      <c r="B90" s="169"/>
      <c r="C90" s="139" t="s">
        <v>60</v>
      </c>
      <c r="D90" s="139"/>
      <c r="E90" s="139"/>
      <c r="F90" s="139"/>
      <c r="G90" s="42">
        <f>G77</f>
        <v>551963</v>
      </c>
      <c r="H90" s="194"/>
      <c r="I90" s="198">
        <f>G95</f>
        <v>24337</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154</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101511</v>
      </c>
      <c r="F95" s="19">
        <f>D95-E95</f>
        <v>-23511</v>
      </c>
      <c r="G95" s="140">
        <f>F95+F96+F99</f>
        <v>24337</v>
      </c>
      <c r="H95" s="33"/>
      <c r="I95" s="33"/>
      <c r="J95" s="33"/>
    </row>
    <row r="96" spans="2:10" ht="16.350000000000001" customHeight="1" thickBot="1" x14ac:dyDescent="0.3">
      <c r="B96" s="22" t="s">
        <v>109</v>
      </c>
      <c r="C96" s="190" t="s">
        <v>9</v>
      </c>
      <c r="D96" s="68">
        <v>60000</v>
      </c>
      <c r="E96" s="190">
        <f>F9+F10+F12+F14+F22+F23+F24+F25+F27+F31+F33+F34+F36+F38+F39+F41+F42+F43+F44+F55+F56+F58+F59+F60+F61+F67+F76</f>
        <v>400352</v>
      </c>
      <c r="F96" s="190">
        <f>D96+D97+D98-E96</f>
        <v>49648</v>
      </c>
      <c r="G96" s="141"/>
      <c r="H96" s="33"/>
      <c r="I96" s="33"/>
      <c r="J96" s="33"/>
    </row>
    <row r="97" spans="2:10" ht="15.75" thickBot="1" x14ac:dyDescent="0.3">
      <c r="B97" s="22" t="s">
        <v>126</v>
      </c>
      <c r="C97" s="191"/>
      <c r="D97" s="68">
        <v>200000</v>
      </c>
      <c r="E97" s="191"/>
      <c r="F97" s="191"/>
      <c r="G97" s="141"/>
      <c r="H97" s="33"/>
      <c r="I97" s="33"/>
      <c r="J97" s="33"/>
    </row>
    <row r="98" spans="2:10" ht="15.75" thickBot="1" x14ac:dyDescent="0.3">
      <c r="B98" s="22" t="s">
        <v>125</v>
      </c>
      <c r="C98" s="191"/>
      <c r="D98" s="68">
        <v>190000</v>
      </c>
      <c r="E98" s="191"/>
      <c r="F98" s="191"/>
      <c r="G98" s="141"/>
      <c r="H98" s="33"/>
      <c r="I98" s="33"/>
      <c r="J98" s="33"/>
    </row>
    <row r="99" spans="2:10" ht="15.75" thickBot="1" x14ac:dyDescent="0.3">
      <c r="B99" s="22" t="s">
        <v>110</v>
      </c>
      <c r="C99" s="190" t="s">
        <v>19</v>
      </c>
      <c r="D99" s="11">
        <v>1500</v>
      </c>
      <c r="E99" s="190">
        <f>F53+F54</f>
        <v>7300</v>
      </c>
      <c r="F99" s="190">
        <f>D99+D100-E99</f>
        <v>-1800</v>
      </c>
      <c r="G99" s="141"/>
      <c r="H99" s="33"/>
      <c r="I99" s="33"/>
      <c r="J99" s="33"/>
    </row>
    <row r="100" spans="2:10" ht="15.75" thickBot="1" x14ac:dyDescent="0.3">
      <c r="B100" s="22" t="s">
        <v>31</v>
      </c>
      <c r="C100" s="191"/>
      <c r="D100" s="11">
        <v>4000</v>
      </c>
      <c r="E100" s="191"/>
      <c r="F100" s="191"/>
      <c r="G100" s="141"/>
      <c r="H100" s="33"/>
      <c r="I100" s="33"/>
      <c r="J100" s="33"/>
    </row>
    <row r="101" spans="2:10" ht="15.75" thickBot="1" x14ac:dyDescent="0.3">
      <c r="B101" s="189" t="s">
        <v>63</v>
      </c>
      <c r="C101" s="189"/>
      <c r="D101" s="85">
        <f>SUM(D95:D100)</f>
        <v>533500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330564</v>
      </c>
      <c r="F103" s="133" t="s">
        <v>137</v>
      </c>
      <c r="G103" s="134"/>
      <c r="H103" s="134"/>
      <c r="I103" s="134"/>
      <c r="J103" s="134"/>
    </row>
    <row r="104" spans="2:10" ht="15.75" thickBot="1" x14ac:dyDescent="0.3">
      <c r="B104" s="148" t="s">
        <v>112</v>
      </c>
      <c r="C104" s="148"/>
      <c r="D104" s="148"/>
      <c r="E104" s="57">
        <f>G11</f>
        <v>103877</v>
      </c>
      <c r="F104" s="135"/>
      <c r="G104" s="136"/>
      <c r="H104" s="136"/>
      <c r="I104" s="136"/>
      <c r="J104" s="136"/>
    </row>
    <row r="105" spans="2:10" ht="15.75" thickBot="1" x14ac:dyDescent="0.3">
      <c r="B105" s="148" t="s">
        <v>113</v>
      </c>
      <c r="C105" s="148"/>
      <c r="D105" s="148"/>
      <c r="E105" s="57">
        <f>G15</f>
        <v>438076</v>
      </c>
      <c r="F105" s="135"/>
      <c r="G105" s="136"/>
      <c r="H105" s="136"/>
      <c r="I105" s="136"/>
      <c r="J105" s="136"/>
    </row>
    <row r="106" spans="2:10" ht="15.75" thickBot="1" x14ac:dyDescent="0.3">
      <c r="B106" s="148" t="s">
        <v>114</v>
      </c>
      <c r="C106" s="148"/>
      <c r="D106" s="148"/>
      <c r="E106" s="57">
        <f>G20</f>
        <v>63872</v>
      </c>
      <c r="F106" s="135"/>
      <c r="G106" s="136"/>
      <c r="H106" s="136"/>
      <c r="I106" s="136"/>
      <c r="J106" s="136"/>
    </row>
    <row r="107" spans="2:10" ht="15.75" thickBot="1" x14ac:dyDescent="0.3">
      <c r="B107" s="148" t="s">
        <v>115</v>
      </c>
      <c r="C107" s="148"/>
      <c r="D107" s="148"/>
      <c r="E107" s="57">
        <f>G26</f>
        <v>79212</v>
      </c>
      <c r="F107" s="137"/>
      <c r="G107" s="138"/>
      <c r="H107" s="138"/>
      <c r="I107" s="138"/>
      <c r="J107" s="138"/>
    </row>
    <row r="108" spans="2:10" ht="15.75" thickBot="1" x14ac:dyDescent="0.3">
      <c r="B108" s="148" t="s">
        <v>116</v>
      </c>
      <c r="C108" s="148"/>
      <c r="D108" s="148"/>
      <c r="E108" s="57">
        <f>G30</f>
        <v>195583</v>
      </c>
      <c r="F108" s="132" t="s">
        <v>155</v>
      </c>
      <c r="G108" s="132"/>
      <c r="H108" s="132"/>
      <c r="I108" s="132"/>
      <c r="J108" s="132"/>
    </row>
    <row r="109" spans="2:10" ht="15.75" thickBot="1" x14ac:dyDescent="0.3">
      <c r="B109" s="148" t="s">
        <v>117</v>
      </c>
      <c r="C109" s="148"/>
      <c r="D109" s="148"/>
      <c r="E109" s="57">
        <f>G35</f>
        <v>53418</v>
      </c>
      <c r="F109" s="151" t="s">
        <v>121</v>
      </c>
      <c r="G109" s="149"/>
      <c r="H109" s="149"/>
      <c r="I109" s="150">
        <f>E113</f>
        <v>1392945</v>
      </c>
      <c r="J109" s="150"/>
    </row>
    <row r="110" spans="2:10" ht="15.75" thickBot="1" x14ac:dyDescent="0.3">
      <c r="B110" s="148" t="s">
        <v>118</v>
      </c>
      <c r="C110" s="148"/>
      <c r="D110" s="148"/>
      <c r="E110" s="57">
        <f>G40</f>
        <v>99143</v>
      </c>
      <c r="F110" s="149" t="s">
        <v>122</v>
      </c>
      <c r="G110" s="149"/>
      <c r="H110" s="149"/>
      <c r="I110" s="150">
        <f>G66</f>
        <v>135373</v>
      </c>
      <c r="J110" s="150"/>
    </row>
    <row r="111" spans="2:10" ht="15.75" thickBot="1" x14ac:dyDescent="0.3">
      <c r="B111" s="148" t="s">
        <v>119</v>
      </c>
      <c r="C111" s="148"/>
      <c r="D111" s="148"/>
      <c r="E111" s="57">
        <f>G52</f>
        <v>19200</v>
      </c>
      <c r="F111" s="149" t="s">
        <v>123</v>
      </c>
      <c r="G111" s="149"/>
      <c r="H111" s="149"/>
      <c r="I111" s="150">
        <f>G72</f>
        <v>162500</v>
      </c>
      <c r="J111" s="150"/>
    </row>
    <row r="112" spans="2:10" ht="29.1" customHeight="1" thickBot="1" x14ac:dyDescent="0.3">
      <c r="B112" s="148" t="s">
        <v>120</v>
      </c>
      <c r="C112" s="148"/>
      <c r="D112" s="148"/>
      <c r="E112" s="57">
        <f>G57</f>
        <v>10000</v>
      </c>
      <c r="F112" s="149" t="s">
        <v>124</v>
      </c>
      <c r="G112" s="149"/>
      <c r="H112" s="149"/>
      <c r="I112" s="150">
        <f>G77</f>
        <v>551963</v>
      </c>
      <c r="J112" s="150"/>
    </row>
    <row r="113" spans="2:10" ht="15.75" thickBot="1" x14ac:dyDescent="0.3">
      <c r="B113" s="142" t="s">
        <v>30</v>
      </c>
      <c r="C113" s="142"/>
      <c r="D113" s="142"/>
      <c r="E113" s="58">
        <f>SUM(E103:E112)</f>
        <v>1392945</v>
      </c>
      <c r="F113" s="143" t="s">
        <v>54</v>
      </c>
      <c r="G113" s="143"/>
      <c r="H113" s="143"/>
      <c r="I113" s="144">
        <f>SUM(I109:J112)</f>
        <v>2242781</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E78:E86"/>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7:D107"/>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93:J93"/>
    <mergeCell ref="G95:G100"/>
    <mergeCell ref="C96:C98"/>
    <mergeCell ref="E96:E98"/>
    <mergeCell ref="F96:F98"/>
    <mergeCell ref="C99:C100"/>
    <mergeCell ref="E99:E100"/>
    <mergeCell ref="F99:F100"/>
    <mergeCell ref="B87:B90"/>
    <mergeCell ref="C87:F87"/>
    <mergeCell ref="H87:H90"/>
    <mergeCell ref="I87:J89"/>
    <mergeCell ref="C88:F88"/>
    <mergeCell ref="C89:F89"/>
    <mergeCell ref="C90:F90"/>
    <mergeCell ref="I90:J90"/>
    <mergeCell ref="H70:J71"/>
    <mergeCell ref="H72:J72"/>
    <mergeCell ref="H73:H76"/>
    <mergeCell ref="I73:I76"/>
    <mergeCell ref="J73:J76"/>
    <mergeCell ref="H65:J69"/>
    <mergeCell ref="E13:F13"/>
    <mergeCell ref="C31:C32"/>
    <mergeCell ref="F31:F32"/>
    <mergeCell ref="C41:C44"/>
    <mergeCell ref="B47:J47"/>
    <mergeCell ref="B48:B50"/>
    <mergeCell ref="C48:I48"/>
    <mergeCell ref="C49:H49"/>
    <mergeCell ref="I49:J49"/>
    <mergeCell ref="C50:F50"/>
    <mergeCell ref="G50:I50"/>
    <mergeCell ref="B63:F63"/>
    <mergeCell ref="H63:J63"/>
    <mergeCell ref="C64:F64"/>
    <mergeCell ref="G64:J64"/>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960"/>
  <sheetViews>
    <sheetView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158</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40642</v>
      </c>
      <c r="E8" s="14" t="s">
        <v>40</v>
      </c>
      <c r="F8" s="26">
        <f>G8-C8-D8</f>
        <v>161547</v>
      </c>
      <c r="G8" s="56">
        <f t="shared" ref="G8:G19" si="0">H8+I8</f>
        <v>333356</v>
      </c>
      <c r="H8" s="10">
        <f>SUM(H9:H10)</f>
        <v>317326</v>
      </c>
      <c r="I8" s="10">
        <f t="shared" ref="I8:J8" si="1">SUM(I9:I10)</f>
        <v>16030</v>
      </c>
      <c r="J8" s="79">
        <f t="shared" si="1"/>
        <v>0</v>
      </c>
    </row>
    <row r="9" spans="2:10" ht="15.75" thickBot="1" x14ac:dyDescent="0.3">
      <c r="B9" s="9" t="s">
        <v>66</v>
      </c>
      <c r="C9" s="68">
        <f>122645+1080+7442</f>
        <v>131167</v>
      </c>
      <c r="D9" s="68">
        <f>2000+1741+7000+290+6593+522</f>
        <v>18146</v>
      </c>
      <c r="E9" s="15" t="s">
        <v>9</v>
      </c>
      <c r="F9" s="27">
        <f>G9-C9-D9</f>
        <v>124428</v>
      </c>
      <c r="G9" s="77">
        <f t="shared" si="0"/>
        <v>273741</v>
      </c>
      <c r="H9" s="68">
        <f>247806+8383+1522</f>
        <v>257711</v>
      </c>
      <c r="I9" s="68">
        <v>16030</v>
      </c>
      <c r="J9" s="80"/>
    </row>
    <row r="10" spans="2:10" ht="15.75" thickBot="1" x14ac:dyDescent="0.3">
      <c r="B10" s="9" t="s">
        <v>67</v>
      </c>
      <c r="C10" s="11"/>
      <c r="D10" s="68">
        <f>630+500+19836+260+1270</f>
        <v>22496</v>
      </c>
      <c r="E10" s="15" t="s">
        <v>9</v>
      </c>
      <c r="F10" s="27">
        <f>G10-C10-D10</f>
        <v>37119</v>
      </c>
      <c r="G10" s="17">
        <f t="shared" si="0"/>
        <v>59615</v>
      </c>
      <c r="H10" s="68">
        <f>47046+6299+5000+1270</f>
        <v>59615</v>
      </c>
      <c r="I10" s="68"/>
      <c r="J10" s="80"/>
    </row>
    <row r="11" spans="2:10" ht="26.25" thickBot="1" x14ac:dyDescent="0.3">
      <c r="B11" s="8" t="s">
        <v>12</v>
      </c>
      <c r="C11" s="10">
        <f>SUM(C12:C14)</f>
        <v>17350</v>
      </c>
      <c r="D11" s="10">
        <f>SUM(D12:D14)</f>
        <v>47872</v>
      </c>
      <c r="E11" s="14" t="s">
        <v>9</v>
      </c>
      <c r="F11" s="26">
        <f>G11-C11-D11</f>
        <v>44618</v>
      </c>
      <c r="G11" s="56">
        <f t="shared" si="0"/>
        <v>109840</v>
      </c>
      <c r="H11" s="10">
        <f>SUM(H12:H14)</f>
        <v>108102</v>
      </c>
      <c r="I11" s="10">
        <f t="shared" ref="I11:J11" si="2">SUM(I12:I14)</f>
        <v>1738</v>
      </c>
      <c r="J11" s="79">
        <f t="shared" si="2"/>
        <v>0</v>
      </c>
    </row>
    <row r="12" spans="2:10" ht="26.25" thickBot="1" x14ac:dyDescent="0.3">
      <c r="B12" s="9" t="s">
        <v>101</v>
      </c>
      <c r="C12" s="68">
        <v>17350</v>
      </c>
      <c r="D12" s="68">
        <f>42+7</f>
        <v>49</v>
      </c>
      <c r="E12" s="15" t="s">
        <v>9</v>
      </c>
      <c r="F12" s="27">
        <f>G12-C12-D12-(D13-H13)</f>
        <v>28000</v>
      </c>
      <c r="G12" s="17">
        <f t="shared" si="0"/>
        <v>49254</v>
      </c>
      <c r="H12" s="11">
        <f>12160+14215+9049-1738+2451+5072+7+337+140+617+2286+136+680+400+714+990</f>
        <v>47516</v>
      </c>
      <c r="I12" s="11">
        <v>1738</v>
      </c>
      <c r="J12" s="80"/>
    </row>
    <row r="13" spans="2:10" ht="30" customHeight="1" thickBot="1" x14ac:dyDescent="0.3">
      <c r="B13" s="9" t="s">
        <v>102</v>
      </c>
      <c r="C13" s="11"/>
      <c r="D13" s="68">
        <f>13762+10360+2191-5290</f>
        <v>21023</v>
      </c>
      <c r="E13" s="186" t="s">
        <v>138</v>
      </c>
      <c r="F13" s="187"/>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324239</v>
      </c>
      <c r="D15" s="10">
        <f>SUM(D16:D19)</f>
        <v>42334</v>
      </c>
      <c r="E15" s="14" t="s">
        <v>35</v>
      </c>
      <c r="F15" s="26">
        <f>G15-C15-D15</f>
        <v>71503</v>
      </c>
      <c r="G15" s="56">
        <f t="shared" si="0"/>
        <v>438076</v>
      </c>
      <c r="H15" s="10">
        <f>SUM(H16:H19)</f>
        <v>391676</v>
      </c>
      <c r="I15" s="10">
        <f>SUM(I16:I19)</f>
        <v>46400</v>
      </c>
      <c r="J15" s="79">
        <f>SUM(J16:J19)</f>
        <v>74742</v>
      </c>
    </row>
    <row r="16" spans="2:10" ht="15.75" thickBot="1" x14ac:dyDescent="0.3">
      <c r="B16" s="9" t="s">
        <v>69</v>
      </c>
      <c r="C16" s="68">
        <f>205616+25023</f>
        <v>230639</v>
      </c>
      <c r="D16" s="11">
        <v>4232</v>
      </c>
      <c r="E16" s="15" t="s">
        <v>10</v>
      </c>
      <c r="F16" s="27">
        <f>G16-C16-D16</f>
        <v>42698</v>
      </c>
      <c r="G16" s="17">
        <f t="shared" si="0"/>
        <v>277569</v>
      </c>
      <c r="H16" s="68">
        <f>228301+4413</f>
        <v>232714</v>
      </c>
      <c r="I16" s="68">
        <f>9442+27726+158+7486+43</f>
        <v>44855</v>
      </c>
      <c r="J16" s="80"/>
    </row>
    <row r="17" spans="2:10" ht="32.1" customHeight="1" thickBot="1" x14ac:dyDescent="0.3">
      <c r="B17" s="9" t="s">
        <v>70</v>
      </c>
      <c r="C17" s="68">
        <f>32026</f>
        <v>32026</v>
      </c>
      <c r="D17" s="68">
        <v>8116</v>
      </c>
      <c r="E17" s="15" t="s">
        <v>10</v>
      </c>
      <c r="F17" s="27">
        <f>G17-C17-D17</f>
        <v>8567</v>
      </c>
      <c r="G17" s="17">
        <f t="shared" si="0"/>
        <v>48709</v>
      </c>
      <c r="H17" s="68">
        <v>48709</v>
      </c>
      <c r="I17" s="68"/>
      <c r="J17" s="80"/>
    </row>
    <row r="18" spans="2:10" ht="26.25" thickBot="1" x14ac:dyDescent="0.3">
      <c r="B18" s="9" t="s">
        <v>71</v>
      </c>
      <c r="C18" s="68">
        <f>61574</f>
        <v>61574</v>
      </c>
      <c r="D18" s="68">
        <f>26666+3320</f>
        <v>29986</v>
      </c>
      <c r="E18" s="15" t="s">
        <v>10</v>
      </c>
      <c r="F18" s="69">
        <f t="shared" ref="F18:F19" si="3">G18-C18-D18</f>
        <v>18693</v>
      </c>
      <c r="G18" s="17">
        <f t="shared" si="0"/>
        <v>110253</v>
      </c>
      <c r="H18" s="68">
        <v>110253</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181427</v>
      </c>
      <c r="D30" s="10">
        <f>SUM(D31:D34)</f>
        <v>0</v>
      </c>
      <c r="E30" s="14" t="s">
        <v>9</v>
      </c>
      <c r="F30" s="26">
        <f>G30-C30-D30</f>
        <v>20220</v>
      </c>
      <c r="G30" s="56">
        <f>H30+I30</f>
        <v>201647</v>
      </c>
      <c r="H30" s="10">
        <f>SUM(H31:H34)</f>
        <v>201647</v>
      </c>
      <c r="I30" s="10">
        <f>SUM(I31:I34)</f>
        <v>0</v>
      </c>
      <c r="J30" s="79">
        <f>SUM(J31:J34)</f>
        <v>0</v>
      </c>
    </row>
    <row r="31" spans="2:10" ht="26.25" thickBot="1" x14ac:dyDescent="0.3">
      <c r="B31" s="9" t="s">
        <v>133</v>
      </c>
      <c r="C31" s="155">
        <v>7397</v>
      </c>
      <c r="D31" s="11"/>
      <c r="E31" s="15" t="s">
        <v>9</v>
      </c>
      <c r="F31" s="171">
        <f>(G31+G32)-C31</f>
        <v>12917</v>
      </c>
      <c r="G31" s="17">
        <f>H31+I31</f>
        <v>17195</v>
      </c>
      <c r="H31" s="68">
        <f>4278+5000+7917</f>
        <v>17195</v>
      </c>
      <c r="I31" s="11"/>
      <c r="J31" s="80"/>
    </row>
    <row r="32" spans="2:10" ht="39" thickBot="1" x14ac:dyDescent="0.3">
      <c r="B32" s="9" t="s">
        <v>79</v>
      </c>
      <c r="C32" s="156"/>
      <c r="D32" s="11"/>
      <c r="E32" s="15" t="s">
        <v>9</v>
      </c>
      <c r="F32" s="172"/>
      <c r="G32" s="17">
        <f t="shared" ref="G32" si="9">H32+I32</f>
        <v>3119</v>
      </c>
      <c r="H32" s="87">
        <v>3119</v>
      </c>
      <c r="I32" s="11"/>
      <c r="J32" s="80"/>
    </row>
    <row r="33" spans="2:10" ht="39" thickBot="1" x14ac:dyDescent="0.3">
      <c r="B33" s="9" t="s">
        <v>128</v>
      </c>
      <c r="C33" s="68">
        <f>139331+28573+604+5460</f>
        <v>173968</v>
      </c>
      <c r="D33" s="11"/>
      <c r="E33" s="15" t="s">
        <v>9</v>
      </c>
      <c r="F33" s="27">
        <f>G33-C33-D33</f>
        <v>7303</v>
      </c>
      <c r="G33" s="17">
        <f>H33+I33</f>
        <v>181271</v>
      </c>
      <c r="H33" s="68">
        <f>139331+11995+28573-4692+604+5460</f>
        <v>181271</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30483</v>
      </c>
      <c r="G35" s="56">
        <f>H35+I35</f>
        <v>57027</v>
      </c>
      <c r="H35" s="10">
        <f>SUM(H36:H39)</f>
        <v>40316</v>
      </c>
      <c r="I35" s="10">
        <f t="shared" ref="I35:J35" si="12">SUM(I36:I39)</f>
        <v>16711</v>
      </c>
      <c r="J35" s="79">
        <f t="shared" si="12"/>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9775</v>
      </c>
      <c r="G39" s="17">
        <f t="shared" si="14"/>
        <v>9775</v>
      </c>
      <c r="H39" s="68">
        <f>5005+1161+3609</f>
        <v>9775</v>
      </c>
      <c r="I39" s="68"/>
      <c r="J39" s="80"/>
    </row>
    <row r="40" spans="2:10" ht="15.75" thickBot="1" x14ac:dyDescent="0.3">
      <c r="B40" s="8" t="s">
        <v>17</v>
      </c>
      <c r="C40" s="10">
        <f>SUM(C41:C44)</f>
        <v>18964</v>
      </c>
      <c r="D40" s="10">
        <f>SUM(D41:D44)</f>
        <v>0</v>
      </c>
      <c r="E40" s="14" t="s">
        <v>9</v>
      </c>
      <c r="F40" s="26">
        <f>G40-C40-D40</f>
        <v>88179</v>
      </c>
      <c r="G40" s="56">
        <f>H40+I40</f>
        <v>107143</v>
      </c>
      <c r="H40" s="10">
        <f>SUM(H41:H44)</f>
        <v>1289</v>
      </c>
      <c r="I40" s="10">
        <f>SUM(I41:I44)</f>
        <v>105854</v>
      </c>
      <c r="J40" s="79">
        <f>SUM(J41:J44)</f>
        <v>4760</v>
      </c>
    </row>
    <row r="41" spans="2:10" ht="39" thickBot="1" x14ac:dyDescent="0.3">
      <c r="B41" s="9" t="s">
        <v>129</v>
      </c>
      <c r="C41" s="155">
        <f>12889+6075</f>
        <v>18964</v>
      </c>
      <c r="D41" s="11"/>
      <c r="E41" s="15" t="s">
        <v>9</v>
      </c>
      <c r="F41" s="27">
        <f>G41-C41-D41</f>
        <v>39729</v>
      </c>
      <c r="G41" s="17">
        <f>H41+I41</f>
        <v>58693</v>
      </c>
      <c r="H41" s="68"/>
      <c r="I41" s="68">
        <v>58693</v>
      </c>
      <c r="J41" s="80">
        <v>2372</v>
      </c>
    </row>
    <row r="42" spans="2:10" ht="15.75" thickBot="1" x14ac:dyDescent="0.3">
      <c r="B42" s="9" t="s">
        <v>85</v>
      </c>
      <c r="C42" s="157"/>
      <c r="D42" s="11"/>
      <c r="E42" s="15" t="s">
        <v>9</v>
      </c>
      <c r="F42" s="27">
        <f>G42-C42-D42</f>
        <v>19000</v>
      </c>
      <c r="G42" s="17">
        <f>H42+I42</f>
        <v>19000</v>
      </c>
      <c r="H42" s="68"/>
      <c r="I42" s="68">
        <f>11000+8000</f>
        <v>19000</v>
      </c>
      <c r="J42" s="80"/>
    </row>
    <row r="43" spans="2:10" ht="26.25" thickBot="1" x14ac:dyDescent="0.3">
      <c r="B43" s="9" t="s">
        <v>86</v>
      </c>
      <c r="C43" s="157"/>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56"/>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158</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19500</v>
      </c>
      <c r="G52" s="56">
        <f>H52+I52</f>
        <v>19500</v>
      </c>
      <c r="H52" s="10">
        <f>SUM(H53:H56)</f>
        <v>19500</v>
      </c>
      <c r="I52" s="10">
        <f>SUM(I53:I56)</f>
        <v>0</v>
      </c>
      <c r="J52" s="79">
        <f>SUM(J53:J56)</f>
        <v>0</v>
      </c>
    </row>
    <row r="53" spans="2:10" ht="26.25" thickBot="1" x14ac:dyDescent="0.3">
      <c r="B53" s="9" t="s">
        <v>88</v>
      </c>
      <c r="C53" s="11"/>
      <c r="D53" s="11"/>
      <c r="E53" s="15" t="s">
        <v>19</v>
      </c>
      <c r="F53" s="27">
        <f>G53-C53-D53</f>
        <v>6100</v>
      </c>
      <c r="G53" s="17">
        <f>H53+I53</f>
        <v>6100</v>
      </c>
      <c r="H53" s="68">
        <f>4000+1800+300</f>
        <v>6100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10800</v>
      </c>
      <c r="G55" s="17">
        <f>H55+I55</f>
        <v>10800</v>
      </c>
      <c r="H55" s="68">
        <f>4800+6000</f>
        <v>10800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770809</v>
      </c>
      <c r="D62" s="21">
        <f>D57+D52+D40+D35+D30+D26+D20+D15+D11+D8</f>
        <v>130848</v>
      </c>
      <c r="E62" s="43"/>
      <c r="F62" s="31">
        <f t="shared" si="22"/>
        <v>518016</v>
      </c>
      <c r="G62" s="44">
        <f>G57+G52+G40+G35+G30+G26+G20+G15+G11+G8</f>
        <v>1419673</v>
      </c>
      <c r="H62" s="21">
        <f>H57+H52+H40+H35+H30+H26+H20+H15+H11+H8</f>
        <v>1089856</v>
      </c>
      <c r="I62" s="45">
        <f>I57+I52+I40+I35+I30+I26+I20+I15+I11+I8</f>
        <v>329817</v>
      </c>
      <c r="J62" s="46">
        <f>J57+J52+J40+J35+J30+J26+J20+J15+J11+J8</f>
        <v>278908</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312435</v>
      </c>
      <c r="D66" s="10">
        <f>SUM(D67:D70)</f>
        <v>187169</v>
      </c>
      <c r="E66" s="14"/>
      <c r="F66" s="10">
        <f>SUM(F67:F70)</f>
        <v>15484</v>
      </c>
      <c r="G66" s="86">
        <f>SUM(G67:G70)</f>
        <v>104906</v>
      </c>
      <c r="H66" s="162"/>
      <c r="I66" s="163"/>
      <c r="J66" s="163"/>
    </row>
    <row r="67" spans="2:10" ht="45.75" thickBot="1" x14ac:dyDescent="0.3">
      <c r="B67" s="9" t="s">
        <v>95</v>
      </c>
      <c r="C67" s="11"/>
      <c r="D67" s="11">
        <f>5700+1653+3490</f>
        <v>10843</v>
      </c>
      <c r="E67" s="66" t="s">
        <v>50</v>
      </c>
      <c r="F67" s="27">
        <f>10000-7981-617-680-400-1000-3609-300</f>
        <v>-4587</v>
      </c>
      <c r="G67" s="77">
        <f>C67+D67+F67</f>
        <v>6256</v>
      </c>
      <c r="H67" s="162"/>
      <c r="I67" s="163"/>
      <c r="J67" s="163"/>
    </row>
    <row r="68" spans="2:10" ht="45.75" thickBot="1" x14ac:dyDescent="0.3">
      <c r="B68" s="9" t="s">
        <v>96</v>
      </c>
      <c r="C68" s="11">
        <v>33790</v>
      </c>
      <c r="D68" s="68">
        <f>19591+5290</f>
        <v>24881</v>
      </c>
      <c r="E68" s="66" t="s">
        <v>47</v>
      </c>
      <c r="F68" s="27"/>
      <c r="G68" s="77">
        <f>C68+D68+F68-F75</f>
        <v>42616</v>
      </c>
      <c r="H68" s="162"/>
      <c r="I68" s="163"/>
      <c r="J68" s="163"/>
    </row>
    <row r="69" spans="2:10" ht="45.75" thickBot="1" x14ac:dyDescent="0.3">
      <c r="B69" s="9" t="s">
        <v>97</v>
      </c>
      <c r="C69" s="11">
        <f>18710</f>
        <v>18710</v>
      </c>
      <c r="D69" s="11"/>
      <c r="E69" s="66" t="s">
        <v>150</v>
      </c>
      <c r="F69" s="27"/>
      <c r="G69" s="77">
        <f t="shared" ref="G69" si="24">C69+D69+F69</f>
        <v>18710</v>
      </c>
      <c r="H69" s="164"/>
      <c r="I69" s="165"/>
      <c r="J69" s="165"/>
    </row>
    <row r="70" spans="2:10" ht="44.1" customHeight="1" thickBot="1" x14ac:dyDescent="0.3">
      <c r="B70" s="9" t="s">
        <v>107</v>
      </c>
      <c r="C70" s="11">
        <f>286735-26800</f>
        <v>259935</v>
      </c>
      <c r="D70" s="68">
        <f>13350+5947+80000+2000+1000+12029+720+960+5000+259+27900+380+1900</f>
        <v>151445</v>
      </c>
      <c r="E70" s="66" t="s">
        <v>148</v>
      </c>
      <c r="F70" s="83">
        <f>G95</f>
        <v>20071</v>
      </c>
      <c r="G70" s="77">
        <f>C70+D70+F70-F73-F74-F78-F79-F80-F81-F82-F83-F84-F85-F86</f>
        <v>37324</v>
      </c>
      <c r="H70" s="173" t="s">
        <v>149</v>
      </c>
      <c r="I70" s="174"/>
      <c r="J70" s="174"/>
    </row>
    <row r="71" spans="2:10" ht="34.3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0</v>
      </c>
      <c r="E72" s="14"/>
      <c r="F72" s="26">
        <f>SUM(F73:F76)</f>
        <v>178120</v>
      </c>
      <c r="G72" s="56">
        <f>SUM(C72+D72+F72)</f>
        <v>178120</v>
      </c>
      <c r="H72" s="158" t="s">
        <v>131</v>
      </c>
      <c r="I72" s="159"/>
      <c r="J72" s="159"/>
    </row>
    <row r="73" spans="2:10" ht="27" customHeight="1" thickBot="1" x14ac:dyDescent="0.3">
      <c r="B73" s="9" t="s">
        <v>98</v>
      </c>
      <c r="C73" s="11"/>
      <c r="D73" s="11"/>
      <c r="E73" s="66" t="s">
        <v>51</v>
      </c>
      <c r="F73" s="69">
        <f>19341+2663+63503+49938+381+2610+18879+1750</f>
        <v>159065</v>
      </c>
      <c r="G73" s="17">
        <f t="shared" ref="G73:G75" si="25">SUM(C73+D73+F73)</f>
        <v>159065</v>
      </c>
      <c r="H73" s="129" t="s">
        <v>53</v>
      </c>
      <c r="I73" s="129" t="s">
        <v>64</v>
      </c>
      <c r="J73" s="129" t="s">
        <v>132</v>
      </c>
    </row>
    <row r="74" spans="2:10" ht="26.25" thickBot="1" x14ac:dyDescent="0.3">
      <c r="B74" s="9" t="s">
        <v>106</v>
      </c>
      <c r="C74" s="11"/>
      <c r="D74" s="11"/>
      <c r="E74" s="66" t="s">
        <v>51</v>
      </c>
      <c r="F74" s="69">
        <v>3000</v>
      </c>
      <c r="G74" s="77">
        <f t="shared" si="25"/>
        <v>3000</v>
      </c>
      <c r="H74" s="130"/>
      <c r="I74" s="130"/>
      <c r="J74" s="130"/>
    </row>
    <row r="75" spans="2:10" ht="26.25" thickBot="1" x14ac:dyDescent="0.3">
      <c r="B75" s="9" t="s">
        <v>99</v>
      </c>
      <c r="C75" s="11"/>
      <c r="D75" s="11"/>
      <c r="E75" s="66" t="s">
        <v>152</v>
      </c>
      <c r="F75" s="69">
        <v>16055</v>
      </c>
      <c r="G75" s="77">
        <f t="shared" si="25"/>
        <v>16055</v>
      </c>
      <c r="H75" s="130"/>
      <c r="I75" s="130"/>
      <c r="J75" s="130"/>
    </row>
    <row r="76" spans="2:10" ht="26.25" thickBot="1" x14ac:dyDescent="0.3">
      <c r="B76" s="9" t="s">
        <v>100</v>
      </c>
      <c r="C76" s="11"/>
      <c r="D76" s="11"/>
      <c r="E76" s="66" t="s">
        <v>9</v>
      </c>
      <c r="F76" s="69"/>
      <c r="G76" s="77">
        <f>SUM(C76+D76+F76)</f>
        <v>0</v>
      </c>
      <c r="H76" s="131"/>
      <c r="I76" s="131"/>
      <c r="J76" s="131"/>
    </row>
    <row r="77" spans="2:10" ht="26.25" thickBot="1" x14ac:dyDescent="0.3">
      <c r="B77" s="8" t="s">
        <v>57</v>
      </c>
      <c r="C77" s="10">
        <f>SUM(C79:C86)</f>
        <v>288170</v>
      </c>
      <c r="D77" s="10">
        <f>SUM(D79:D86)</f>
        <v>40829</v>
      </c>
      <c r="E77" s="14"/>
      <c r="F77" s="10">
        <f>SUM(F78:F86)</f>
        <v>232062</v>
      </c>
      <c r="G77" s="56">
        <f>SUM(C77+D77+F77)</f>
        <v>561061</v>
      </c>
      <c r="H77" s="62">
        <f>SUM(H79:H86)</f>
        <v>790000</v>
      </c>
      <c r="I77" s="65">
        <f>SUM(I79:I86)</f>
        <v>103489</v>
      </c>
      <c r="J77" s="65">
        <f>SUM(J79:J86)</f>
        <v>1426586</v>
      </c>
    </row>
    <row r="78" spans="2:10" ht="46.35" customHeight="1" thickBot="1" x14ac:dyDescent="0.3">
      <c r="B78" s="9" t="s">
        <v>52</v>
      </c>
      <c r="C78" s="11"/>
      <c r="D78" s="11"/>
      <c r="E78" s="126" t="s">
        <v>151</v>
      </c>
      <c r="F78" s="27">
        <v>27964</v>
      </c>
      <c r="G78" s="17">
        <f t="shared" ref="G78:G86" si="26">C78+D78+F78</f>
        <v>27964</v>
      </c>
      <c r="H78" s="63"/>
      <c r="I78" s="63"/>
      <c r="J78" s="64">
        <f>SUM(G78:I78)</f>
        <v>27964</v>
      </c>
    </row>
    <row r="79" spans="2:10" ht="15" customHeight="1" thickBot="1" x14ac:dyDescent="0.3">
      <c r="B79" s="9" t="s">
        <v>157</v>
      </c>
      <c r="C79" s="11"/>
      <c r="D79" s="11"/>
      <c r="E79" s="127"/>
      <c r="F79" s="27">
        <v>195000</v>
      </c>
      <c r="G79" s="17">
        <f t="shared" si="26"/>
        <v>195000</v>
      </c>
      <c r="H79" s="63"/>
      <c r="I79" s="63"/>
      <c r="J79" s="64">
        <f>SUM(G79:I79)</f>
        <v>195000</v>
      </c>
    </row>
    <row r="80" spans="2:10" ht="15.75" thickBot="1" x14ac:dyDescent="0.3">
      <c r="B80" s="9" t="s">
        <v>26</v>
      </c>
      <c r="C80" s="68">
        <v>238170</v>
      </c>
      <c r="D80" s="11"/>
      <c r="E80" s="127"/>
      <c r="F80" s="27"/>
      <c r="G80" s="77">
        <f t="shared" si="26"/>
        <v>238170</v>
      </c>
      <c r="H80" s="63"/>
      <c r="I80" s="63">
        <v>11830</v>
      </c>
      <c r="J80" s="64">
        <f t="shared" ref="J80:J86" si="27">SUM(G80:I80)</f>
        <v>250000</v>
      </c>
    </row>
    <row r="81" spans="2:10" ht="15.75" thickBot="1" x14ac:dyDescent="0.3">
      <c r="B81" s="9" t="s">
        <v>25</v>
      </c>
      <c r="C81" s="68">
        <v>50000</v>
      </c>
      <c r="D81" s="11"/>
      <c r="E81" s="127"/>
      <c r="F81" s="27"/>
      <c r="G81" s="77">
        <f t="shared" si="26"/>
        <v>50000</v>
      </c>
      <c r="H81" s="63">
        <v>790000</v>
      </c>
      <c r="I81" s="63"/>
      <c r="J81" s="64">
        <f t="shared" si="27"/>
        <v>840000</v>
      </c>
    </row>
    <row r="82" spans="2:10" ht="15.75" thickBot="1" x14ac:dyDescent="0.3">
      <c r="B82" s="9" t="s">
        <v>62</v>
      </c>
      <c r="C82" s="11"/>
      <c r="D82" s="11">
        <v>39536</v>
      </c>
      <c r="E82" s="127"/>
      <c r="F82" s="27">
        <v>4909</v>
      </c>
      <c r="G82" s="77">
        <f t="shared" si="26"/>
        <v>44445</v>
      </c>
      <c r="H82" s="63"/>
      <c r="I82" s="63">
        <v>70216</v>
      </c>
      <c r="J82" s="64">
        <f t="shared" si="27"/>
        <v>114661</v>
      </c>
    </row>
    <row r="83" spans="2:10" ht="15.75" thickBot="1" x14ac:dyDescent="0.3">
      <c r="B83" s="9" t="s">
        <v>156</v>
      </c>
      <c r="C83" s="11"/>
      <c r="D83" s="11">
        <v>1293</v>
      </c>
      <c r="E83" s="127"/>
      <c r="F83" s="27"/>
      <c r="G83" s="77">
        <f t="shared" si="26"/>
        <v>1293</v>
      </c>
      <c r="H83" s="63"/>
      <c r="I83" s="63">
        <v>21443</v>
      </c>
      <c r="J83" s="64">
        <f t="shared" si="27"/>
        <v>22736</v>
      </c>
    </row>
    <row r="84" spans="2:10" ht="15.75" thickBot="1" x14ac:dyDescent="0.3">
      <c r="B84" s="9" t="s">
        <v>61</v>
      </c>
      <c r="C84" s="11"/>
      <c r="D84" s="11"/>
      <c r="E84" s="127"/>
      <c r="F84" s="27">
        <v>4189</v>
      </c>
      <c r="G84" s="77">
        <f t="shared" si="26"/>
        <v>4189</v>
      </c>
      <c r="H84" s="63"/>
      <c r="I84" s="63"/>
      <c r="J84" s="64">
        <f t="shared" si="27"/>
        <v>4189</v>
      </c>
    </row>
    <row r="85" spans="2:10" ht="15.75" thickBot="1" x14ac:dyDescent="0.3">
      <c r="B85" s="9" t="s">
        <v>27</v>
      </c>
      <c r="C85" s="11"/>
      <c r="D85" s="11"/>
      <c r="E85" s="127"/>
      <c r="F85" s="27"/>
      <c r="G85" s="17">
        <f t="shared" si="26"/>
        <v>0</v>
      </c>
      <c r="H85" s="63"/>
      <c r="I85" s="63"/>
      <c r="J85" s="64">
        <f t="shared" si="27"/>
        <v>0</v>
      </c>
    </row>
    <row r="86" spans="2:10" ht="15.75" thickBot="1" x14ac:dyDescent="0.3">
      <c r="B86" s="9" t="s">
        <v>135</v>
      </c>
      <c r="C86" s="11"/>
      <c r="D86" s="11"/>
      <c r="E86" s="128"/>
      <c r="F86" s="27"/>
      <c r="G86" s="17">
        <f t="shared" si="26"/>
        <v>0</v>
      </c>
      <c r="H86" s="63"/>
      <c r="I86" s="63"/>
      <c r="J86" s="64">
        <f t="shared" si="27"/>
        <v>0</v>
      </c>
    </row>
    <row r="87" spans="2:10" ht="16.350000000000001" customHeight="1" thickBot="1" x14ac:dyDescent="0.3">
      <c r="B87" s="181" t="s">
        <v>43</v>
      </c>
      <c r="C87" s="139" t="s">
        <v>56</v>
      </c>
      <c r="D87" s="139"/>
      <c r="E87" s="139"/>
      <c r="F87" s="139"/>
      <c r="G87" s="40">
        <f>G62</f>
        <v>1419673</v>
      </c>
      <c r="H87" s="193">
        <f>SUM(G87:G90)</f>
        <v>2263760</v>
      </c>
      <c r="I87" s="195" t="s">
        <v>141</v>
      </c>
      <c r="J87" s="195"/>
    </row>
    <row r="88" spans="2:10" ht="41.1" customHeight="1" thickBot="1" x14ac:dyDescent="0.3">
      <c r="B88" s="192"/>
      <c r="C88" s="139" t="s">
        <v>104</v>
      </c>
      <c r="D88" s="139"/>
      <c r="E88" s="139"/>
      <c r="F88" s="152"/>
      <c r="G88" s="40">
        <f>G66</f>
        <v>104906</v>
      </c>
      <c r="H88" s="194"/>
      <c r="I88" s="196"/>
      <c r="J88" s="196"/>
    </row>
    <row r="89" spans="2:10" ht="16.350000000000001" customHeight="1" thickBot="1" x14ac:dyDescent="0.3">
      <c r="B89" s="192"/>
      <c r="C89" s="139" t="s">
        <v>55</v>
      </c>
      <c r="D89" s="139"/>
      <c r="E89" s="139"/>
      <c r="F89" s="152"/>
      <c r="G89" s="40">
        <f>G72</f>
        <v>178120</v>
      </c>
      <c r="H89" s="194"/>
      <c r="I89" s="197"/>
      <c r="J89" s="197"/>
    </row>
    <row r="90" spans="2:10" ht="19.350000000000001" customHeight="1" thickBot="1" x14ac:dyDescent="0.3">
      <c r="B90" s="169"/>
      <c r="C90" s="139" t="s">
        <v>60</v>
      </c>
      <c r="D90" s="139"/>
      <c r="E90" s="139"/>
      <c r="F90" s="139"/>
      <c r="G90" s="42">
        <f>G77</f>
        <v>561061</v>
      </c>
      <c r="H90" s="194"/>
      <c r="I90" s="198">
        <f>G95</f>
        <v>20071</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158</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101511</v>
      </c>
      <c r="F95" s="19">
        <f>D95-E95</f>
        <v>-23511</v>
      </c>
      <c r="G95" s="140">
        <f>F95+F96+F99</f>
        <v>20071</v>
      </c>
      <c r="H95" s="33"/>
      <c r="I95" s="33"/>
      <c r="J95" s="33"/>
    </row>
    <row r="96" spans="2:10" ht="16.350000000000001" customHeight="1" thickBot="1" x14ac:dyDescent="0.3">
      <c r="B96" s="22" t="s">
        <v>109</v>
      </c>
      <c r="C96" s="190" t="s">
        <v>9</v>
      </c>
      <c r="D96" s="68">
        <v>60000</v>
      </c>
      <c r="E96" s="190">
        <f>F9+F10+F12+F14+F22+F23+F24+F25+F27+F31+F33+F34+F36+F38+F39+F41+F42+F43+F44+F55+F56+F58+F59+F60+F61+F67+F76</f>
        <v>404318</v>
      </c>
      <c r="F96" s="190">
        <f>D96+D97+D98-E96</f>
        <v>45682</v>
      </c>
      <c r="G96" s="141"/>
      <c r="H96" s="33"/>
      <c r="I96" s="33"/>
      <c r="J96" s="33"/>
    </row>
    <row r="97" spans="2:10" ht="15.75" thickBot="1" x14ac:dyDescent="0.3">
      <c r="B97" s="22" t="s">
        <v>126</v>
      </c>
      <c r="C97" s="191"/>
      <c r="D97" s="68">
        <v>200000</v>
      </c>
      <c r="E97" s="191"/>
      <c r="F97" s="191"/>
      <c r="G97" s="141"/>
      <c r="H97" s="33"/>
      <c r="I97" s="33"/>
      <c r="J97" s="33"/>
    </row>
    <row r="98" spans="2:10" ht="15.75" thickBot="1" x14ac:dyDescent="0.3">
      <c r="B98" s="22" t="s">
        <v>125</v>
      </c>
      <c r="C98" s="191"/>
      <c r="D98" s="68">
        <v>190000</v>
      </c>
      <c r="E98" s="191"/>
      <c r="F98" s="191"/>
      <c r="G98" s="141"/>
      <c r="H98" s="33"/>
      <c r="I98" s="33"/>
      <c r="J98" s="33"/>
    </row>
    <row r="99" spans="2:10" ht="15.75" thickBot="1" x14ac:dyDescent="0.3">
      <c r="B99" s="22" t="s">
        <v>110</v>
      </c>
      <c r="C99" s="190" t="s">
        <v>19</v>
      </c>
      <c r="D99" s="11">
        <v>1500</v>
      </c>
      <c r="E99" s="190">
        <f>F53+F54</f>
        <v>7600</v>
      </c>
      <c r="F99" s="190">
        <f>D99+D100-E99</f>
        <v>-2100</v>
      </c>
      <c r="G99" s="141"/>
      <c r="H99" s="33"/>
      <c r="I99" s="33"/>
      <c r="J99" s="33"/>
    </row>
    <row r="100" spans="2:10" ht="15.75" thickBot="1" x14ac:dyDescent="0.3">
      <c r="B100" s="22" t="s">
        <v>31</v>
      </c>
      <c r="C100" s="191"/>
      <c r="D100" s="11">
        <v>4000</v>
      </c>
      <c r="E100" s="191"/>
      <c r="F100" s="191"/>
      <c r="G100" s="141"/>
      <c r="H100" s="33"/>
      <c r="I100" s="33"/>
      <c r="J100" s="33"/>
    </row>
    <row r="101" spans="2:10" ht="15.75" thickBot="1" x14ac:dyDescent="0.3">
      <c r="B101" s="189" t="s">
        <v>63</v>
      </c>
      <c r="C101" s="189"/>
      <c r="D101" s="85">
        <f>SUM(D95:D100)</f>
        <v>533500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333356</v>
      </c>
      <c r="F103" s="133" t="s">
        <v>137</v>
      </c>
      <c r="G103" s="134"/>
      <c r="H103" s="134"/>
      <c r="I103" s="134"/>
      <c r="J103" s="134"/>
    </row>
    <row r="104" spans="2:10" ht="15.75" thickBot="1" x14ac:dyDescent="0.3">
      <c r="B104" s="148" t="s">
        <v>112</v>
      </c>
      <c r="C104" s="148"/>
      <c r="D104" s="148"/>
      <c r="E104" s="57">
        <f>G11</f>
        <v>109840</v>
      </c>
      <c r="F104" s="135"/>
      <c r="G104" s="136"/>
      <c r="H104" s="136"/>
      <c r="I104" s="136"/>
      <c r="J104" s="136"/>
    </row>
    <row r="105" spans="2:10" ht="15.75" thickBot="1" x14ac:dyDescent="0.3">
      <c r="B105" s="148" t="s">
        <v>113</v>
      </c>
      <c r="C105" s="148"/>
      <c r="D105" s="148"/>
      <c r="E105" s="57">
        <f>G15</f>
        <v>438076</v>
      </c>
      <c r="F105" s="135"/>
      <c r="G105" s="136"/>
      <c r="H105" s="136"/>
      <c r="I105" s="136"/>
      <c r="J105" s="136"/>
    </row>
    <row r="106" spans="2:10" ht="15.75" thickBot="1" x14ac:dyDescent="0.3">
      <c r="B106" s="148" t="s">
        <v>114</v>
      </c>
      <c r="C106" s="148"/>
      <c r="D106" s="148"/>
      <c r="E106" s="57">
        <f>G20</f>
        <v>63872</v>
      </c>
      <c r="F106" s="135"/>
      <c r="G106" s="136"/>
      <c r="H106" s="136"/>
      <c r="I106" s="136"/>
      <c r="J106" s="136"/>
    </row>
    <row r="107" spans="2:10" ht="15.75" thickBot="1" x14ac:dyDescent="0.3">
      <c r="B107" s="148" t="s">
        <v>115</v>
      </c>
      <c r="C107" s="148"/>
      <c r="D107" s="148"/>
      <c r="E107" s="57">
        <f>G26</f>
        <v>79212</v>
      </c>
      <c r="F107" s="137"/>
      <c r="G107" s="138"/>
      <c r="H107" s="138"/>
      <c r="I107" s="138"/>
      <c r="J107" s="138"/>
    </row>
    <row r="108" spans="2:10" ht="15.75" thickBot="1" x14ac:dyDescent="0.3">
      <c r="B108" s="148" t="s">
        <v>116</v>
      </c>
      <c r="C108" s="148"/>
      <c r="D108" s="148"/>
      <c r="E108" s="57">
        <f>G30</f>
        <v>201647</v>
      </c>
      <c r="F108" s="132" t="s">
        <v>159</v>
      </c>
      <c r="G108" s="132"/>
      <c r="H108" s="132"/>
      <c r="I108" s="132"/>
      <c r="J108" s="132"/>
    </row>
    <row r="109" spans="2:10" ht="15.75" thickBot="1" x14ac:dyDescent="0.3">
      <c r="B109" s="148" t="s">
        <v>117</v>
      </c>
      <c r="C109" s="148"/>
      <c r="D109" s="148"/>
      <c r="E109" s="57">
        <f>G35</f>
        <v>57027</v>
      </c>
      <c r="F109" s="151" t="s">
        <v>121</v>
      </c>
      <c r="G109" s="149"/>
      <c r="H109" s="149"/>
      <c r="I109" s="150">
        <f>E113</f>
        <v>1419673</v>
      </c>
      <c r="J109" s="150"/>
    </row>
    <row r="110" spans="2:10" ht="15.75" thickBot="1" x14ac:dyDescent="0.3">
      <c r="B110" s="148" t="s">
        <v>118</v>
      </c>
      <c r="C110" s="148"/>
      <c r="D110" s="148"/>
      <c r="E110" s="57">
        <f>G40</f>
        <v>107143</v>
      </c>
      <c r="F110" s="149" t="s">
        <v>122</v>
      </c>
      <c r="G110" s="149"/>
      <c r="H110" s="149"/>
      <c r="I110" s="150">
        <f>G66</f>
        <v>104906</v>
      </c>
      <c r="J110" s="150"/>
    </row>
    <row r="111" spans="2:10" ht="15.75" thickBot="1" x14ac:dyDescent="0.3">
      <c r="B111" s="148" t="s">
        <v>119</v>
      </c>
      <c r="C111" s="148"/>
      <c r="D111" s="148"/>
      <c r="E111" s="57">
        <f>G52</f>
        <v>19500</v>
      </c>
      <c r="F111" s="149" t="s">
        <v>123</v>
      </c>
      <c r="G111" s="149"/>
      <c r="H111" s="149"/>
      <c r="I111" s="150">
        <f>G72</f>
        <v>178120</v>
      </c>
      <c r="J111" s="150"/>
    </row>
    <row r="112" spans="2:10" ht="29.1" customHeight="1" thickBot="1" x14ac:dyDescent="0.3">
      <c r="B112" s="148" t="s">
        <v>120</v>
      </c>
      <c r="C112" s="148"/>
      <c r="D112" s="148"/>
      <c r="E112" s="57">
        <f>G57</f>
        <v>10000</v>
      </c>
      <c r="F112" s="149" t="s">
        <v>124</v>
      </c>
      <c r="G112" s="149"/>
      <c r="H112" s="149"/>
      <c r="I112" s="150">
        <f>G77</f>
        <v>561061</v>
      </c>
      <c r="J112" s="150"/>
    </row>
    <row r="113" spans="2:10" ht="15.75" thickBot="1" x14ac:dyDescent="0.3">
      <c r="B113" s="142" t="s">
        <v>30</v>
      </c>
      <c r="C113" s="142"/>
      <c r="D113" s="142"/>
      <c r="E113" s="58">
        <f>SUM(E103:E112)</f>
        <v>1419673</v>
      </c>
      <c r="F113" s="143" t="s">
        <v>54</v>
      </c>
      <c r="G113" s="143"/>
      <c r="H113" s="143"/>
      <c r="I113" s="144">
        <f>SUM(I109:J112)</f>
        <v>2263760</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E96:E98"/>
    <mergeCell ref="F96:F98"/>
    <mergeCell ref="C99:C100"/>
    <mergeCell ref="E99:E100"/>
    <mergeCell ref="F99: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31:C32"/>
    <mergeCell ref="F31:F32"/>
    <mergeCell ref="C41:C44"/>
    <mergeCell ref="B47:J47"/>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960"/>
  <sheetViews>
    <sheetView topLeftCell="A79" zoomScaleNormal="10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160</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46316</v>
      </c>
      <c r="E8" s="14" t="s">
        <v>40</v>
      </c>
      <c r="F8" s="26">
        <f>G8-C8-D8</f>
        <v>168158</v>
      </c>
      <c r="G8" s="56">
        <f t="shared" ref="G8:G19" si="0">H8+I8</f>
        <v>345641</v>
      </c>
      <c r="H8" s="10">
        <f>SUM(H9:H10)</f>
        <v>329611</v>
      </c>
      <c r="I8" s="10">
        <f t="shared" ref="I8:J8" si="1">SUM(I9:I10)</f>
        <v>16030</v>
      </c>
      <c r="J8" s="79">
        <f t="shared" si="1"/>
        <v>0</v>
      </c>
    </row>
    <row r="9" spans="2:10" ht="15.75" thickBot="1" x14ac:dyDescent="0.3">
      <c r="B9" s="9" t="s">
        <v>66</v>
      </c>
      <c r="C9" s="68">
        <f>122645+1080+7442</f>
        <v>131167</v>
      </c>
      <c r="D9" s="68">
        <f>2000+1741+7000+290+6593+522+1229</f>
        <v>19375</v>
      </c>
      <c r="E9" s="15" t="s">
        <v>9</v>
      </c>
      <c r="F9" s="27">
        <f>G9-C9-D9</f>
        <v>128863</v>
      </c>
      <c r="G9" s="77">
        <f t="shared" si="0"/>
        <v>279405</v>
      </c>
      <c r="H9" s="68">
        <f>247806+8383+1522+5664</f>
        <v>263375</v>
      </c>
      <c r="I9" s="68">
        <v>16030</v>
      </c>
      <c r="J9" s="80"/>
    </row>
    <row r="10" spans="2:10" ht="15.75" thickBot="1" x14ac:dyDescent="0.3">
      <c r="B10" s="9" t="s">
        <v>67</v>
      </c>
      <c r="C10" s="11"/>
      <c r="D10" s="68">
        <f>630+500+19836+260+1270+4445</f>
        <v>26941</v>
      </c>
      <c r="E10" s="15" t="s">
        <v>9</v>
      </c>
      <c r="F10" s="27">
        <f>G10-C10-D10</f>
        <v>39295</v>
      </c>
      <c r="G10" s="17">
        <f t="shared" si="0"/>
        <v>66236</v>
      </c>
      <c r="H10" s="68">
        <f>47046+6299+5000+1270+4445+207+300+1556+113</f>
        <v>66236</v>
      </c>
      <c r="I10" s="68"/>
      <c r="J10" s="80"/>
    </row>
    <row r="11" spans="2:10" ht="26.25" thickBot="1" x14ac:dyDescent="0.3">
      <c r="B11" s="8" t="s">
        <v>12</v>
      </c>
      <c r="C11" s="10">
        <f>SUM(C12:C14)</f>
        <v>17350</v>
      </c>
      <c r="D11" s="10">
        <f>SUM(D12:D14)</f>
        <v>47872</v>
      </c>
      <c r="E11" s="14" t="s">
        <v>9</v>
      </c>
      <c r="F11" s="26">
        <f>G11-C11-D11</f>
        <v>45024</v>
      </c>
      <c r="G11" s="56">
        <f t="shared" si="0"/>
        <v>110246</v>
      </c>
      <c r="H11" s="10">
        <f>SUM(H12:H14)</f>
        <v>108508</v>
      </c>
      <c r="I11" s="10">
        <f t="shared" ref="I11:J11" si="2">SUM(I12:I14)</f>
        <v>1738</v>
      </c>
      <c r="J11" s="79">
        <f t="shared" si="2"/>
        <v>0</v>
      </c>
    </row>
    <row r="12" spans="2:10" ht="26.25" thickBot="1" x14ac:dyDescent="0.3">
      <c r="B12" s="9" t="s">
        <v>101</v>
      </c>
      <c r="C12" s="68">
        <v>17350</v>
      </c>
      <c r="D12" s="68">
        <f>42+7</f>
        <v>49</v>
      </c>
      <c r="E12" s="15" t="s">
        <v>9</v>
      </c>
      <c r="F12" s="27">
        <f>G12-C12-D12-(D13-H13)</f>
        <v>28406</v>
      </c>
      <c r="G12" s="17">
        <f t="shared" si="0"/>
        <v>49660</v>
      </c>
      <c r="H12" s="11">
        <f>12160+14215+9049-1738+2451+5072+7+337+140+617+2286+136+680+400+714+990+141+110+155</f>
        <v>47922</v>
      </c>
      <c r="I12" s="11">
        <v>1738</v>
      </c>
      <c r="J12" s="80"/>
    </row>
    <row r="13" spans="2:10" ht="30" customHeight="1" thickBot="1" x14ac:dyDescent="0.3">
      <c r="B13" s="9" t="s">
        <v>102</v>
      </c>
      <c r="C13" s="11"/>
      <c r="D13" s="68">
        <f>13762+10360+2191-5290</f>
        <v>21023</v>
      </c>
      <c r="E13" s="186" t="s">
        <v>138</v>
      </c>
      <c r="F13" s="187"/>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345028</v>
      </c>
      <c r="D15" s="10">
        <f>SUM(D16:D19)</f>
        <v>48092</v>
      </c>
      <c r="E15" s="14" t="s">
        <v>35</v>
      </c>
      <c r="F15" s="26">
        <f>G15-C15-D15</f>
        <v>66924</v>
      </c>
      <c r="G15" s="56">
        <f t="shared" si="0"/>
        <v>460044</v>
      </c>
      <c r="H15" s="10">
        <f>SUM(H16:H19)</f>
        <v>413644</v>
      </c>
      <c r="I15" s="10">
        <f>SUM(I16:I19)</f>
        <v>46400</v>
      </c>
      <c r="J15" s="79">
        <f>SUM(J16:J19)</f>
        <v>74742</v>
      </c>
    </row>
    <row r="16" spans="2:10" ht="15.75" thickBot="1" x14ac:dyDescent="0.3">
      <c r="B16" s="9" t="s">
        <v>69</v>
      </c>
      <c r="C16" s="68">
        <f>205616+25023+6183</f>
        <v>236822</v>
      </c>
      <c r="D16" s="11">
        <v>4232</v>
      </c>
      <c r="E16" s="15" t="s">
        <v>10</v>
      </c>
      <c r="F16" s="27">
        <f>G16-C16-D16</f>
        <v>36915</v>
      </c>
      <c r="G16" s="17">
        <f t="shared" si="0"/>
        <v>277969</v>
      </c>
      <c r="H16" s="68">
        <f>228301+4413+400</f>
        <v>233114</v>
      </c>
      <c r="I16" s="68">
        <f>9442+27726+158+7486+43</f>
        <v>44855</v>
      </c>
      <c r="J16" s="80"/>
    </row>
    <row r="17" spans="2:10" ht="32.1" customHeight="1" thickBot="1" x14ac:dyDescent="0.3">
      <c r="B17" s="9" t="s">
        <v>70</v>
      </c>
      <c r="C17" s="68">
        <f>32026+5613</f>
        <v>37639</v>
      </c>
      <c r="D17" s="68">
        <f>8116+1039</f>
        <v>9155</v>
      </c>
      <c r="E17" s="15" t="s">
        <v>10</v>
      </c>
      <c r="F17" s="27">
        <f>G17-C17-D17</f>
        <v>8567</v>
      </c>
      <c r="G17" s="17">
        <f t="shared" si="0"/>
        <v>55361</v>
      </c>
      <c r="H17" s="68">
        <f>48709+6652</f>
        <v>55361</v>
      </c>
      <c r="I17" s="68"/>
      <c r="J17" s="80"/>
    </row>
    <row r="18" spans="2:10" ht="26.25" thickBot="1" x14ac:dyDescent="0.3">
      <c r="B18" s="9" t="s">
        <v>71</v>
      </c>
      <c r="C18" s="68">
        <f>61574+8993</f>
        <v>70567</v>
      </c>
      <c r="D18" s="68">
        <f>26666+3320+4719</f>
        <v>34705</v>
      </c>
      <c r="E18" s="15" t="s">
        <v>10</v>
      </c>
      <c r="F18" s="69">
        <f t="shared" ref="F18:F19" si="3">G18-C18-D18</f>
        <v>19897</v>
      </c>
      <c r="G18" s="17">
        <f t="shared" si="0"/>
        <v>125169</v>
      </c>
      <c r="H18" s="68">
        <f>110253+14916</f>
        <v>125169</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192154</v>
      </c>
      <c r="D30" s="10">
        <f>SUM(D31:D34)</f>
        <v>0</v>
      </c>
      <c r="E30" s="14" t="s">
        <v>9</v>
      </c>
      <c r="F30" s="26">
        <f>G30-C30-D30</f>
        <v>20220</v>
      </c>
      <c r="G30" s="56">
        <f>H30+I30</f>
        <v>212374</v>
      </c>
      <c r="H30" s="10">
        <f>SUM(H31:H34)</f>
        <v>212374</v>
      </c>
      <c r="I30" s="10">
        <f>SUM(I31:I34)</f>
        <v>0</v>
      </c>
      <c r="J30" s="79">
        <f>SUM(J31:J34)</f>
        <v>0</v>
      </c>
    </row>
    <row r="31" spans="2:10" ht="26.25" thickBot="1" x14ac:dyDescent="0.3">
      <c r="B31" s="9" t="s">
        <v>133</v>
      </c>
      <c r="C31" s="155">
        <v>7397</v>
      </c>
      <c r="D31" s="11"/>
      <c r="E31" s="15" t="s">
        <v>9</v>
      </c>
      <c r="F31" s="171">
        <f>(G31+G32)-C31</f>
        <v>12917</v>
      </c>
      <c r="G31" s="17">
        <f>H31+I31</f>
        <v>17195</v>
      </c>
      <c r="H31" s="68">
        <f>4278+5000+7917</f>
        <v>17195</v>
      </c>
      <c r="I31" s="11"/>
      <c r="J31" s="80"/>
    </row>
    <row r="32" spans="2:10" ht="39" thickBot="1" x14ac:dyDescent="0.3">
      <c r="B32" s="9" t="s">
        <v>79</v>
      </c>
      <c r="C32" s="156"/>
      <c r="D32" s="11"/>
      <c r="E32" s="15" t="s">
        <v>9</v>
      </c>
      <c r="F32" s="172"/>
      <c r="G32" s="17">
        <f t="shared" ref="G32" si="9">H32+I32</f>
        <v>3119</v>
      </c>
      <c r="H32" s="87">
        <v>3119</v>
      </c>
      <c r="I32" s="11"/>
      <c r="J32" s="80"/>
    </row>
    <row r="33" spans="2:10" ht="39" thickBot="1" x14ac:dyDescent="0.3">
      <c r="B33" s="9" t="s">
        <v>128</v>
      </c>
      <c r="C33" s="68">
        <f>139331+28573+604+5460+10727</f>
        <v>184695</v>
      </c>
      <c r="D33" s="11"/>
      <c r="E33" s="15" t="s">
        <v>9</v>
      </c>
      <c r="F33" s="27">
        <f>G33-C33-D33</f>
        <v>7303</v>
      </c>
      <c r="G33" s="17">
        <f>H33+I33</f>
        <v>191998</v>
      </c>
      <c r="H33" s="68">
        <f>139331+11995+28573-4692+604+5460+10727</f>
        <v>191998</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30583</v>
      </c>
      <c r="G35" s="56">
        <f>H35+I35</f>
        <v>57127</v>
      </c>
      <c r="H35" s="10">
        <f>SUM(H36:H39)</f>
        <v>40416</v>
      </c>
      <c r="I35" s="10">
        <f t="shared" ref="I35:J35" si="12">SUM(I36:I39)</f>
        <v>16711</v>
      </c>
      <c r="J35" s="79">
        <f t="shared" si="12"/>
        <v>3636</v>
      </c>
    </row>
    <row r="36" spans="2:10" ht="15.75" thickBot="1" x14ac:dyDescent="0.3">
      <c r="B36" s="9" t="s">
        <v>81</v>
      </c>
      <c r="C36" s="68">
        <v>26544</v>
      </c>
      <c r="D36" s="11"/>
      <c r="E36" s="67" t="s">
        <v>9</v>
      </c>
      <c r="F36" s="27">
        <f>G36-C36-D36</f>
        <v>1843</v>
      </c>
      <c r="G36" s="17">
        <f>H36+I36</f>
        <v>28387</v>
      </c>
      <c r="H36" s="68">
        <f>28287+100</f>
        <v>28387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9775</v>
      </c>
      <c r="G39" s="17">
        <f t="shared" si="14"/>
        <v>9775</v>
      </c>
      <c r="H39" s="68">
        <f>5005+1161+3609</f>
        <v>9775</v>
      </c>
      <c r="I39" s="68"/>
      <c r="J39" s="80"/>
    </row>
    <row r="40" spans="2:10" ht="15.75" thickBot="1" x14ac:dyDescent="0.3">
      <c r="B40" s="8" t="s">
        <v>17</v>
      </c>
      <c r="C40" s="10">
        <f>SUM(C41:C44)</f>
        <v>18964</v>
      </c>
      <c r="D40" s="10">
        <f>SUM(D41:D44)</f>
        <v>0</v>
      </c>
      <c r="E40" s="14" t="s">
        <v>9</v>
      </c>
      <c r="F40" s="26">
        <f>G40-C40-D40</f>
        <v>88179</v>
      </c>
      <c r="G40" s="56">
        <f>H40+I40</f>
        <v>107143</v>
      </c>
      <c r="H40" s="10">
        <f>SUM(H41:H44)</f>
        <v>1289</v>
      </c>
      <c r="I40" s="10">
        <f>SUM(I41:I44)</f>
        <v>105854</v>
      </c>
      <c r="J40" s="79">
        <f>SUM(J41:J44)</f>
        <v>4760</v>
      </c>
    </row>
    <row r="41" spans="2:10" ht="39" thickBot="1" x14ac:dyDescent="0.3">
      <c r="B41" s="9" t="s">
        <v>129</v>
      </c>
      <c r="C41" s="155">
        <f>12889+6075</f>
        <v>18964</v>
      </c>
      <c r="D41" s="11"/>
      <c r="E41" s="15" t="s">
        <v>9</v>
      </c>
      <c r="F41" s="27">
        <f>G41-C41-D41</f>
        <v>39729</v>
      </c>
      <c r="G41" s="17">
        <f>H41+I41</f>
        <v>58693</v>
      </c>
      <c r="H41" s="68"/>
      <c r="I41" s="68">
        <v>58693</v>
      </c>
      <c r="J41" s="80">
        <v>2372</v>
      </c>
    </row>
    <row r="42" spans="2:10" ht="15.75" thickBot="1" x14ac:dyDescent="0.3">
      <c r="B42" s="9" t="s">
        <v>85</v>
      </c>
      <c r="C42" s="157"/>
      <c r="D42" s="11"/>
      <c r="E42" s="15" t="s">
        <v>9</v>
      </c>
      <c r="F42" s="27">
        <f>G42-C42-D42</f>
        <v>19000</v>
      </c>
      <c r="G42" s="17">
        <f>H42+I42</f>
        <v>19000</v>
      </c>
      <c r="H42" s="68"/>
      <c r="I42" s="68">
        <f>11000+8000</f>
        <v>19000</v>
      </c>
      <c r="J42" s="80"/>
    </row>
    <row r="43" spans="2:10" ht="26.25" thickBot="1" x14ac:dyDescent="0.3">
      <c r="B43" s="9" t="s">
        <v>86</v>
      </c>
      <c r="C43" s="157"/>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56"/>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160</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22130</v>
      </c>
      <c r="G52" s="56">
        <f>H52+I52</f>
        <v>22130</v>
      </c>
      <c r="H52" s="10">
        <f>SUM(H53:H56)</f>
        <v>22130</v>
      </c>
      <c r="I52" s="10">
        <f>SUM(I53:I56)</f>
        <v>0</v>
      </c>
      <c r="J52" s="79">
        <f>SUM(J53:J56)</f>
        <v>0</v>
      </c>
    </row>
    <row r="53" spans="2:10" ht="26.25" thickBot="1" x14ac:dyDescent="0.3">
      <c r="B53" s="9" t="s">
        <v>88</v>
      </c>
      <c r="C53" s="11"/>
      <c r="D53" s="11"/>
      <c r="E53" s="15" t="s">
        <v>19</v>
      </c>
      <c r="F53" s="27">
        <f>G53-C53-D53</f>
        <v>6100</v>
      </c>
      <c r="G53" s="17">
        <f>H53+I53</f>
        <v>6100</v>
      </c>
      <c r="H53" s="68">
        <f>4000+1800+300</f>
        <v>6100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13430</v>
      </c>
      <c r="G55" s="17">
        <f>H55+I55</f>
        <v>13430</v>
      </c>
      <c r="H55" s="68">
        <f>4800+6000+2630</f>
        <v>13430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802325</v>
      </c>
      <c r="D62" s="21">
        <f>D57+D52+D40+D35+D30+D26+D20+D15+D11+D8</f>
        <v>142280</v>
      </c>
      <c r="E62" s="43"/>
      <c r="F62" s="31">
        <f t="shared" si="22"/>
        <v>523184</v>
      </c>
      <c r="G62" s="44">
        <f>G57+G52+G40+G35+G30+G26+G20+G15+G11+G8</f>
        <v>1467789</v>
      </c>
      <c r="H62" s="21">
        <f>H57+H52+H40+H35+H30+H26+H20+H15+H11+H8</f>
        <v>1137972</v>
      </c>
      <c r="I62" s="45">
        <f>I57+I52+I40+I35+I30+I26+I20+I15+I11+I8</f>
        <v>329817</v>
      </c>
      <c r="J62" s="46">
        <f>J57+J52+J40+J35+J30+J26+J20+J15+J11+J8</f>
        <v>278908</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312435</v>
      </c>
      <c r="D66" s="10">
        <f>SUM(D67:D70)</f>
        <v>197169</v>
      </c>
      <c r="E66" s="14"/>
      <c r="F66" s="10">
        <f>SUM(F67:F70)</f>
        <v>10316</v>
      </c>
      <c r="G66" s="86">
        <f>SUM(G67:G70)</f>
        <v>104772</v>
      </c>
      <c r="H66" s="162"/>
      <c r="I66" s="163"/>
      <c r="J66" s="163"/>
    </row>
    <row r="67" spans="2:10" ht="45.75" thickBot="1" x14ac:dyDescent="0.3">
      <c r="B67" s="9" t="s">
        <v>95</v>
      </c>
      <c r="C67" s="11"/>
      <c r="D67" s="11">
        <f>5700+1653+3490</f>
        <v>10843</v>
      </c>
      <c r="E67" s="66" t="s">
        <v>50</v>
      </c>
      <c r="F67" s="27">
        <f>10000-7981-617-680-400-1000-3609-300-714-400-207-110-2630-400-1556+6183-113</f>
        <v>-4534</v>
      </c>
      <c r="G67" s="77">
        <f>C67+D67+F67</f>
        <v>6309</v>
      </c>
      <c r="H67" s="162"/>
      <c r="I67" s="163"/>
      <c r="J67" s="163"/>
    </row>
    <row r="68" spans="2:10" ht="45.75" thickBot="1" x14ac:dyDescent="0.3">
      <c r="B68" s="9" t="s">
        <v>96</v>
      </c>
      <c r="C68" s="11">
        <v>33790</v>
      </c>
      <c r="D68" s="68">
        <f>19591+5290</f>
        <v>24881</v>
      </c>
      <c r="E68" s="66" t="s">
        <v>47</v>
      </c>
      <c r="F68" s="27"/>
      <c r="G68" s="77">
        <f>C68+D68+F68-F75</f>
        <v>42616</v>
      </c>
      <c r="H68" s="162"/>
      <c r="I68" s="163"/>
      <c r="J68" s="163"/>
    </row>
    <row r="69" spans="2:10" ht="45.75" thickBot="1" x14ac:dyDescent="0.3">
      <c r="B69" s="9" t="s">
        <v>97</v>
      </c>
      <c r="C69" s="11">
        <f>18710</f>
        <v>18710</v>
      </c>
      <c r="D69" s="11"/>
      <c r="E69" s="66" t="s">
        <v>150</v>
      </c>
      <c r="F69" s="27">
        <v>-1204</v>
      </c>
      <c r="G69" s="77">
        <f>C69+D69+F69</f>
        <v>17506</v>
      </c>
      <c r="H69" s="164"/>
      <c r="I69" s="165"/>
      <c r="J69" s="165"/>
    </row>
    <row r="70" spans="2:10" ht="44.1" customHeight="1" thickBot="1" x14ac:dyDescent="0.3">
      <c r="B70" s="9" t="s">
        <v>107</v>
      </c>
      <c r="C70" s="11">
        <f>286735-26800</f>
        <v>259935</v>
      </c>
      <c r="D70" s="68">
        <f>13350+5947+80000+2000+1000+12029+720+960+5000+259+27900+380+1900+10000</f>
        <v>161445</v>
      </c>
      <c r="E70" s="66" t="s">
        <v>148</v>
      </c>
      <c r="F70" s="83">
        <f>G95</f>
        <v>16054</v>
      </c>
      <c r="G70" s="77">
        <f>C70+D70+F70-F73-F74-F78-F79-F80-F81-F82-F83-F84-F85-F86</f>
        <v>38341</v>
      </c>
      <c r="H70" s="173" t="s">
        <v>149</v>
      </c>
      <c r="I70" s="174"/>
      <c r="J70" s="174"/>
    </row>
    <row r="71" spans="2:10" ht="34.3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0</v>
      </c>
      <c r="E72" s="14"/>
      <c r="F72" s="26">
        <f>SUM(F73:F76)</f>
        <v>182029</v>
      </c>
      <c r="G72" s="56">
        <f>SUM(C72+D72+F72)</f>
        <v>182029</v>
      </c>
      <c r="H72" s="158" t="s">
        <v>131</v>
      </c>
      <c r="I72" s="159"/>
      <c r="J72" s="159"/>
    </row>
    <row r="73" spans="2:10" ht="27" customHeight="1" thickBot="1" x14ac:dyDescent="0.3">
      <c r="B73" s="9" t="s">
        <v>98</v>
      </c>
      <c r="C73" s="11"/>
      <c r="D73" s="11"/>
      <c r="E73" s="66" t="s">
        <v>51</v>
      </c>
      <c r="F73" s="69">
        <f>19341+2663+63503+49938+381+2610+18879+1750+2540+357+900+112</f>
        <v>162974</v>
      </c>
      <c r="G73" s="17">
        <f t="shared" ref="G73:G75" si="24">SUM(C73+D73+F73)</f>
        <v>162974</v>
      </c>
      <c r="H73" s="129" t="s">
        <v>53</v>
      </c>
      <c r="I73" s="129" t="s">
        <v>64</v>
      </c>
      <c r="J73" s="129" t="s">
        <v>132</v>
      </c>
    </row>
    <row r="74" spans="2:10" ht="26.25" thickBot="1" x14ac:dyDescent="0.3">
      <c r="B74" s="9" t="s">
        <v>106</v>
      </c>
      <c r="C74" s="11"/>
      <c r="D74" s="11"/>
      <c r="E74" s="66" t="s">
        <v>51</v>
      </c>
      <c r="F74" s="69">
        <v>3000</v>
      </c>
      <c r="G74" s="77">
        <f t="shared" si="24"/>
        <v>3000</v>
      </c>
      <c r="H74" s="130"/>
      <c r="I74" s="130"/>
      <c r="J74" s="130"/>
    </row>
    <row r="75" spans="2:10" ht="26.25" thickBot="1" x14ac:dyDescent="0.3">
      <c r="B75" s="9" t="s">
        <v>99</v>
      </c>
      <c r="C75" s="11"/>
      <c r="D75" s="11"/>
      <c r="E75" s="66" t="s">
        <v>152</v>
      </c>
      <c r="F75" s="69">
        <v>16055</v>
      </c>
      <c r="G75" s="77">
        <f t="shared" si="24"/>
        <v>16055</v>
      </c>
      <c r="H75" s="130"/>
      <c r="I75" s="130"/>
      <c r="J75" s="130"/>
    </row>
    <row r="76" spans="2:10" ht="26.25" thickBot="1" x14ac:dyDescent="0.3">
      <c r="B76" s="9" t="s">
        <v>100</v>
      </c>
      <c r="C76" s="11"/>
      <c r="D76" s="11"/>
      <c r="E76" s="66" t="s">
        <v>9</v>
      </c>
      <c r="F76" s="69"/>
      <c r="G76" s="77">
        <f>SUM(C76+D76+F76)</f>
        <v>0</v>
      </c>
      <c r="H76" s="131"/>
      <c r="I76" s="131"/>
      <c r="J76" s="131"/>
    </row>
    <row r="77" spans="2:10" ht="26.25" thickBot="1" x14ac:dyDescent="0.3">
      <c r="B77" s="8" t="s">
        <v>57</v>
      </c>
      <c r="C77" s="10">
        <f>SUM(C79:C86)</f>
        <v>288170</v>
      </c>
      <c r="D77" s="10">
        <f>SUM(D79:D86)</f>
        <v>40829</v>
      </c>
      <c r="E77" s="14"/>
      <c r="F77" s="10">
        <f>SUM(F78:F86)</f>
        <v>233119</v>
      </c>
      <c r="G77" s="56">
        <f>SUM(C77+D77+F77)</f>
        <v>562118</v>
      </c>
      <c r="H77" s="62">
        <f>SUM(H79:H86)</f>
        <v>790000</v>
      </c>
      <c r="I77" s="65">
        <f>SUM(I79:I86)</f>
        <v>103489</v>
      </c>
      <c r="J77" s="65">
        <f>SUM(J79:J86)</f>
        <v>1427643</v>
      </c>
    </row>
    <row r="78" spans="2:10" ht="46.35" customHeight="1" thickBot="1" x14ac:dyDescent="0.3">
      <c r="B78" s="9" t="s">
        <v>52</v>
      </c>
      <c r="C78" s="11"/>
      <c r="D78" s="11"/>
      <c r="E78" s="126" t="s">
        <v>151</v>
      </c>
      <c r="F78" s="27">
        <v>27964</v>
      </c>
      <c r="G78" s="17">
        <f t="shared" ref="G78:G86" si="25">C78+D78+F78</f>
        <v>27964</v>
      </c>
      <c r="H78" s="63"/>
      <c r="I78" s="63"/>
      <c r="J78" s="64">
        <f>SUM(G78:I78)</f>
        <v>27964</v>
      </c>
    </row>
    <row r="79" spans="2:10" ht="15" customHeight="1" thickBot="1" x14ac:dyDescent="0.3">
      <c r="B79" s="9" t="s">
        <v>157</v>
      </c>
      <c r="C79" s="11"/>
      <c r="D79" s="11"/>
      <c r="E79" s="127"/>
      <c r="F79" s="27">
        <v>195000</v>
      </c>
      <c r="G79" s="17">
        <f t="shared" si="25"/>
        <v>195000</v>
      </c>
      <c r="H79" s="63"/>
      <c r="I79" s="63"/>
      <c r="J79" s="64">
        <f>SUM(G79:I79)</f>
        <v>195000</v>
      </c>
    </row>
    <row r="80" spans="2:10" ht="15.75" thickBot="1" x14ac:dyDescent="0.3">
      <c r="B80" s="9" t="s">
        <v>26</v>
      </c>
      <c r="C80" s="68">
        <v>238170</v>
      </c>
      <c r="D80" s="11"/>
      <c r="E80" s="127"/>
      <c r="F80" s="27"/>
      <c r="G80" s="77">
        <f t="shared" si="25"/>
        <v>238170</v>
      </c>
      <c r="H80" s="63"/>
      <c r="I80" s="63">
        <v>11830</v>
      </c>
      <c r="J80" s="64">
        <f t="shared" ref="J80:J86" si="26">SUM(G80:I80)</f>
        <v>250000</v>
      </c>
    </row>
    <row r="81" spans="2:10" ht="15.75" thickBot="1" x14ac:dyDescent="0.3">
      <c r="B81" s="9" t="s">
        <v>25</v>
      </c>
      <c r="C81" s="68">
        <v>50000</v>
      </c>
      <c r="D81" s="11"/>
      <c r="E81" s="127"/>
      <c r="F81" s="27"/>
      <c r="G81" s="77">
        <f t="shared" si="25"/>
        <v>50000</v>
      </c>
      <c r="H81" s="63">
        <v>790000</v>
      </c>
      <c r="I81" s="63"/>
      <c r="J81" s="64">
        <f t="shared" si="26"/>
        <v>840000</v>
      </c>
    </row>
    <row r="82" spans="2:10" ht="15.75" thickBot="1" x14ac:dyDescent="0.3">
      <c r="B82" s="9" t="s">
        <v>62</v>
      </c>
      <c r="C82" s="11"/>
      <c r="D82" s="11">
        <v>39536</v>
      </c>
      <c r="E82" s="127"/>
      <c r="F82" s="27">
        <f>4909+307</f>
        <v>5216</v>
      </c>
      <c r="G82" s="77">
        <f t="shared" si="25"/>
        <v>44752</v>
      </c>
      <c r="H82" s="63"/>
      <c r="I82" s="63">
        <v>70216</v>
      </c>
      <c r="J82" s="64">
        <f t="shared" si="26"/>
        <v>114968</v>
      </c>
    </row>
    <row r="83" spans="2:10" ht="15.75" thickBot="1" x14ac:dyDescent="0.3">
      <c r="B83" s="9" t="s">
        <v>156</v>
      </c>
      <c r="C83" s="11"/>
      <c r="D83" s="11">
        <v>1293</v>
      </c>
      <c r="E83" s="127"/>
      <c r="F83" s="27"/>
      <c r="G83" s="77">
        <f t="shared" si="25"/>
        <v>1293</v>
      </c>
      <c r="H83" s="63"/>
      <c r="I83" s="63">
        <v>21443</v>
      </c>
      <c r="J83" s="64">
        <f t="shared" si="26"/>
        <v>22736</v>
      </c>
    </row>
    <row r="84" spans="2:10" ht="15.75" thickBot="1" x14ac:dyDescent="0.3">
      <c r="B84" s="9" t="s">
        <v>61</v>
      </c>
      <c r="C84" s="11"/>
      <c r="D84" s="11"/>
      <c r="E84" s="127"/>
      <c r="F84" s="27">
        <v>4189</v>
      </c>
      <c r="G84" s="77">
        <f t="shared" si="25"/>
        <v>4189</v>
      </c>
      <c r="H84" s="63"/>
      <c r="I84" s="63"/>
      <c r="J84" s="64">
        <f t="shared" si="26"/>
        <v>4189</v>
      </c>
    </row>
    <row r="85" spans="2:10" ht="15.75" thickBot="1" x14ac:dyDescent="0.3">
      <c r="B85" s="9" t="s">
        <v>27</v>
      </c>
      <c r="C85" s="11"/>
      <c r="D85" s="11"/>
      <c r="E85" s="127"/>
      <c r="F85" s="27">
        <v>750</v>
      </c>
      <c r="G85" s="17">
        <f t="shared" si="25"/>
        <v>750</v>
      </c>
      <c r="H85" s="63"/>
      <c r="I85" s="63"/>
      <c r="J85" s="64">
        <f t="shared" si="26"/>
        <v>750</v>
      </c>
    </row>
    <row r="86" spans="2:10" ht="15.75" thickBot="1" x14ac:dyDescent="0.3">
      <c r="B86" s="9" t="s">
        <v>135</v>
      </c>
      <c r="C86" s="11"/>
      <c r="D86" s="11"/>
      <c r="E86" s="128"/>
      <c r="F86" s="27"/>
      <c r="G86" s="17">
        <f t="shared" si="25"/>
        <v>0</v>
      </c>
      <c r="H86" s="63"/>
      <c r="I86" s="63"/>
      <c r="J86" s="64">
        <f t="shared" si="26"/>
        <v>0</v>
      </c>
    </row>
    <row r="87" spans="2:10" ht="16.350000000000001" customHeight="1" thickBot="1" x14ac:dyDescent="0.3">
      <c r="B87" s="181" t="s">
        <v>43</v>
      </c>
      <c r="C87" s="139" t="s">
        <v>56</v>
      </c>
      <c r="D87" s="139"/>
      <c r="E87" s="139"/>
      <c r="F87" s="139"/>
      <c r="G87" s="40">
        <f>G62</f>
        <v>1467789</v>
      </c>
      <c r="H87" s="193">
        <f>SUM(G87:G90)</f>
        <v>2316708</v>
      </c>
      <c r="I87" s="195" t="s">
        <v>141</v>
      </c>
      <c r="J87" s="195"/>
    </row>
    <row r="88" spans="2:10" ht="41.1" customHeight="1" thickBot="1" x14ac:dyDescent="0.3">
      <c r="B88" s="192"/>
      <c r="C88" s="139" t="s">
        <v>104</v>
      </c>
      <c r="D88" s="139"/>
      <c r="E88" s="139"/>
      <c r="F88" s="152"/>
      <c r="G88" s="40">
        <f>G66</f>
        <v>104772</v>
      </c>
      <c r="H88" s="194"/>
      <c r="I88" s="196"/>
      <c r="J88" s="196"/>
    </row>
    <row r="89" spans="2:10" ht="16.350000000000001" customHeight="1" thickBot="1" x14ac:dyDescent="0.3">
      <c r="B89" s="192"/>
      <c r="C89" s="139" t="s">
        <v>55</v>
      </c>
      <c r="D89" s="139"/>
      <c r="E89" s="139"/>
      <c r="F89" s="152"/>
      <c r="G89" s="40">
        <f>G72</f>
        <v>182029</v>
      </c>
      <c r="H89" s="194"/>
      <c r="I89" s="197"/>
      <c r="J89" s="197"/>
    </row>
    <row r="90" spans="2:10" ht="19.350000000000001" customHeight="1" thickBot="1" x14ac:dyDescent="0.3">
      <c r="B90" s="169"/>
      <c r="C90" s="139" t="s">
        <v>60</v>
      </c>
      <c r="D90" s="139"/>
      <c r="E90" s="139"/>
      <c r="F90" s="139"/>
      <c r="G90" s="42">
        <f>G77</f>
        <v>562118</v>
      </c>
      <c r="H90" s="194"/>
      <c r="I90" s="198">
        <f>G95</f>
        <v>16054</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160</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96932</v>
      </c>
      <c r="F95" s="19">
        <f>D95-E95</f>
        <v>-18932</v>
      </c>
      <c r="G95" s="140">
        <f>F95+F96+F99</f>
        <v>16054</v>
      </c>
      <c r="H95" s="33"/>
      <c r="I95" s="33"/>
      <c r="J95" s="33"/>
    </row>
    <row r="96" spans="2:10" ht="16.350000000000001" customHeight="1" thickBot="1" x14ac:dyDescent="0.3">
      <c r="B96" s="22" t="s">
        <v>109</v>
      </c>
      <c r="C96" s="190" t="s">
        <v>9</v>
      </c>
      <c r="D96" s="68">
        <v>60000</v>
      </c>
      <c r="E96" s="190">
        <f>F9+F10+F12+F14+F22+F23+F24+F25+F27+F31+F33+F34+F36+F38+F39+F41+F42+F43+F44+F55+F56+F58+F59+F60+F61+F67+F76+F69</f>
        <v>412914</v>
      </c>
      <c r="F96" s="190">
        <f>D96+D97+D98-E96</f>
        <v>37086</v>
      </c>
      <c r="G96" s="141"/>
      <c r="H96" s="33"/>
      <c r="I96" s="33"/>
      <c r="J96" s="33"/>
    </row>
    <row r="97" spans="2:10" ht="15.75" thickBot="1" x14ac:dyDescent="0.3">
      <c r="B97" s="22" t="s">
        <v>126</v>
      </c>
      <c r="C97" s="191"/>
      <c r="D97" s="68">
        <v>200000</v>
      </c>
      <c r="E97" s="191"/>
      <c r="F97" s="191"/>
      <c r="G97" s="141"/>
      <c r="H97" s="33"/>
      <c r="I97" s="33"/>
      <c r="J97" s="33"/>
    </row>
    <row r="98" spans="2:10" ht="15.75" thickBot="1" x14ac:dyDescent="0.3">
      <c r="B98" s="22" t="s">
        <v>125</v>
      </c>
      <c r="C98" s="191"/>
      <c r="D98" s="68">
        <v>190000</v>
      </c>
      <c r="E98" s="191"/>
      <c r="F98" s="191"/>
      <c r="G98" s="141"/>
      <c r="H98" s="33"/>
      <c r="I98" s="33"/>
      <c r="J98" s="33"/>
    </row>
    <row r="99" spans="2:10" ht="15.75" thickBot="1" x14ac:dyDescent="0.3">
      <c r="B99" s="22" t="s">
        <v>110</v>
      </c>
      <c r="C99" s="190" t="s">
        <v>19</v>
      </c>
      <c r="D99" s="11">
        <v>1500</v>
      </c>
      <c r="E99" s="190">
        <f>F53+F54</f>
        <v>7600</v>
      </c>
      <c r="F99" s="190">
        <f>D99+D100-E99</f>
        <v>-2100</v>
      </c>
      <c r="G99" s="141"/>
      <c r="H99" s="33"/>
      <c r="I99" s="33"/>
      <c r="J99" s="33"/>
    </row>
    <row r="100" spans="2:10" ht="15.75" thickBot="1" x14ac:dyDescent="0.3">
      <c r="B100" s="22" t="s">
        <v>31</v>
      </c>
      <c r="C100" s="191"/>
      <c r="D100" s="11">
        <v>4000</v>
      </c>
      <c r="E100" s="191"/>
      <c r="F100" s="191"/>
      <c r="G100" s="141"/>
      <c r="H100" s="33"/>
      <c r="I100" s="33"/>
      <c r="J100" s="33"/>
    </row>
    <row r="101" spans="2:10" ht="15.75" thickBot="1" x14ac:dyDescent="0.3">
      <c r="B101" s="189" t="s">
        <v>63</v>
      </c>
      <c r="C101" s="189"/>
      <c r="D101" s="85">
        <f>SUM(D95:D100)</f>
        <v>533500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345641</v>
      </c>
      <c r="F103" s="133" t="s">
        <v>137</v>
      </c>
      <c r="G103" s="134"/>
      <c r="H103" s="134"/>
      <c r="I103" s="134"/>
      <c r="J103" s="134"/>
    </row>
    <row r="104" spans="2:10" ht="15.75" thickBot="1" x14ac:dyDescent="0.3">
      <c r="B104" s="148" t="s">
        <v>112</v>
      </c>
      <c r="C104" s="148"/>
      <c r="D104" s="148"/>
      <c r="E104" s="57">
        <f>G11</f>
        <v>110246</v>
      </c>
      <c r="F104" s="135"/>
      <c r="G104" s="136"/>
      <c r="H104" s="136"/>
      <c r="I104" s="136"/>
      <c r="J104" s="136"/>
    </row>
    <row r="105" spans="2:10" ht="15.75" thickBot="1" x14ac:dyDescent="0.3">
      <c r="B105" s="148" t="s">
        <v>113</v>
      </c>
      <c r="C105" s="148"/>
      <c r="D105" s="148"/>
      <c r="E105" s="57">
        <f>G15</f>
        <v>460044</v>
      </c>
      <c r="F105" s="135"/>
      <c r="G105" s="136"/>
      <c r="H105" s="136"/>
      <c r="I105" s="136"/>
      <c r="J105" s="136"/>
    </row>
    <row r="106" spans="2:10" ht="15.75" thickBot="1" x14ac:dyDescent="0.3">
      <c r="B106" s="148" t="s">
        <v>114</v>
      </c>
      <c r="C106" s="148"/>
      <c r="D106" s="148"/>
      <c r="E106" s="57">
        <f>G20</f>
        <v>63872</v>
      </c>
      <c r="F106" s="135"/>
      <c r="G106" s="136"/>
      <c r="H106" s="136"/>
      <c r="I106" s="136"/>
      <c r="J106" s="136"/>
    </row>
    <row r="107" spans="2:10" ht="15.75" thickBot="1" x14ac:dyDescent="0.3">
      <c r="B107" s="148" t="s">
        <v>115</v>
      </c>
      <c r="C107" s="148"/>
      <c r="D107" s="148"/>
      <c r="E107" s="57">
        <f>G26</f>
        <v>79212</v>
      </c>
      <c r="F107" s="137"/>
      <c r="G107" s="138"/>
      <c r="H107" s="138"/>
      <c r="I107" s="138"/>
      <c r="J107" s="138"/>
    </row>
    <row r="108" spans="2:10" ht="15.75" thickBot="1" x14ac:dyDescent="0.3">
      <c r="B108" s="148" t="s">
        <v>116</v>
      </c>
      <c r="C108" s="148"/>
      <c r="D108" s="148"/>
      <c r="E108" s="57">
        <f>G30</f>
        <v>212374</v>
      </c>
      <c r="F108" s="132" t="s">
        <v>161</v>
      </c>
      <c r="G108" s="132"/>
      <c r="H108" s="132"/>
      <c r="I108" s="132"/>
      <c r="J108" s="132"/>
    </row>
    <row r="109" spans="2:10" ht="15.75" thickBot="1" x14ac:dyDescent="0.3">
      <c r="B109" s="148" t="s">
        <v>117</v>
      </c>
      <c r="C109" s="148"/>
      <c r="D109" s="148"/>
      <c r="E109" s="57">
        <f>G35</f>
        <v>57127</v>
      </c>
      <c r="F109" s="151" t="s">
        <v>121</v>
      </c>
      <c r="G109" s="149"/>
      <c r="H109" s="149"/>
      <c r="I109" s="150">
        <f>E113</f>
        <v>1467789</v>
      </c>
      <c r="J109" s="150"/>
    </row>
    <row r="110" spans="2:10" ht="15.75" thickBot="1" x14ac:dyDescent="0.3">
      <c r="B110" s="148" t="s">
        <v>118</v>
      </c>
      <c r="C110" s="148"/>
      <c r="D110" s="148"/>
      <c r="E110" s="57">
        <f>G40</f>
        <v>107143</v>
      </c>
      <c r="F110" s="149" t="s">
        <v>122</v>
      </c>
      <c r="G110" s="149"/>
      <c r="H110" s="149"/>
      <c r="I110" s="150">
        <f>G66</f>
        <v>104772</v>
      </c>
      <c r="J110" s="150"/>
    </row>
    <row r="111" spans="2:10" ht="15.75" thickBot="1" x14ac:dyDescent="0.3">
      <c r="B111" s="148" t="s">
        <v>119</v>
      </c>
      <c r="C111" s="148"/>
      <c r="D111" s="148"/>
      <c r="E111" s="57">
        <f>G52</f>
        <v>22130</v>
      </c>
      <c r="F111" s="149" t="s">
        <v>123</v>
      </c>
      <c r="G111" s="149"/>
      <c r="H111" s="149"/>
      <c r="I111" s="150">
        <f>G72</f>
        <v>182029</v>
      </c>
      <c r="J111" s="150"/>
    </row>
    <row r="112" spans="2:10" ht="29.1" customHeight="1" thickBot="1" x14ac:dyDescent="0.3">
      <c r="B112" s="148" t="s">
        <v>120</v>
      </c>
      <c r="C112" s="148"/>
      <c r="D112" s="148"/>
      <c r="E112" s="57">
        <f>G57</f>
        <v>10000</v>
      </c>
      <c r="F112" s="149" t="s">
        <v>124</v>
      </c>
      <c r="G112" s="149"/>
      <c r="H112" s="149"/>
      <c r="I112" s="150">
        <f>G77</f>
        <v>562118</v>
      </c>
      <c r="J112" s="150"/>
    </row>
    <row r="113" spans="2:10" ht="15.75" thickBot="1" x14ac:dyDescent="0.3">
      <c r="B113" s="142" t="s">
        <v>30</v>
      </c>
      <c r="C113" s="142"/>
      <c r="D113" s="142"/>
      <c r="E113" s="58">
        <f>SUM(E103:E112)</f>
        <v>1467789</v>
      </c>
      <c r="F113" s="143" t="s">
        <v>54</v>
      </c>
      <c r="G113" s="143"/>
      <c r="H113" s="143"/>
      <c r="I113" s="144">
        <f>SUM(I109:J112)</f>
        <v>2316708</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960"/>
  <sheetViews>
    <sheetView topLeftCell="A13" zoomScale="90" zoomScaleNormal="90" zoomScaleSheetLayoutView="158" workbookViewId="0">
      <selection activeCell="H12" sqref="H12"/>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162</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134460</v>
      </c>
      <c r="D8" s="10">
        <f>SUM(D9:D10)</f>
        <v>31133</v>
      </c>
      <c r="E8" s="14" t="s">
        <v>40</v>
      </c>
      <c r="F8" s="26">
        <f>G8-C8-D8</f>
        <v>209233</v>
      </c>
      <c r="G8" s="56">
        <f t="shared" ref="G8:G19" si="0">H8+I8</f>
        <v>374826</v>
      </c>
      <c r="H8" s="10">
        <f>SUM(H9:H10)</f>
        <v>366221</v>
      </c>
      <c r="I8" s="10">
        <f t="shared" ref="I8:J8" si="1">SUM(I9:I10)</f>
        <v>8605</v>
      </c>
      <c r="J8" s="79">
        <f t="shared" si="1"/>
        <v>0</v>
      </c>
    </row>
    <row r="9" spans="2:10" ht="15.75" thickBot="1" x14ac:dyDescent="0.3">
      <c r="B9" s="9" t="s">
        <v>66</v>
      </c>
      <c r="C9" s="68">
        <f>133380+1080</f>
        <v>134460</v>
      </c>
      <c r="D9" s="68">
        <f>7000+1287+2500</f>
        <v>10787</v>
      </c>
      <c r="E9" s="15" t="s">
        <v>9</v>
      </c>
      <c r="F9" s="27">
        <f>G9-C9-D9</f>
        <v>151806</v>
      </c>
      <c r="G9" s="77">
        <f t="shared" si="0"/>
        <v>297053</v>
      </c>
      <c r="H9" s="68">
        <v>288448</v>
      </c>
      <c r="I9" s="68">
        <v>8605</v>
      </c>
      <c r="J9" s="80"/>
    </row>
    <row r="10" spans="2:10" ht="15.75" thickBot="1" x14ac:dyDescent="0.3">
      <c r="B10" s="9" t="s">
        <v>67</v>
      </c>
      <c r="C10" s="11"/>
      <c r="D10" s="68">
        <f>2500+17689+157</f>
        <v>20346</v>
      </c>
      <c r="E10" s="15" t="s">
        <v>9</v>
      </c>
      <c r="F10" s="27">
        <f>G10-C10-D10</f>
        <v>57427</v>
      </c>
      <c r="G10" s="17">
        <f t="shared" si="0"/>
        <v>77773</v>
      </c>
      <c r="H10" s="68">
        <f>68662+9111</f>
        <v>77773</v>
      </c>
      <c r="I10" s="68"/>
      <c r="J10" s="80"/>
    </row>
    <row r="11" spans="2:10" ht="26.25" thickBot="1" x14ac:dyDescent="0.3">
      <c r="B11" s="8" t="s">
        <v>12</v>
      </c>
      <c r="C11" s="10">
        <f>SUM(C12:C14)</f>
        <v>17486</v>
      </c>
      <c r="D11" s="10">
        <f>SUM(D12:D14)</f>
        <v>31597</v>
      </c>
      <c r="E11" s="14" t="s">
        <v>9</v>
      </c>
      <c r="F11" s="26">
        <f>G11-C11-D11</f>
        <v>47004</v>
      </c>
      <c r="G11" s="56">
        <f t="shared" si="0"/>
        <v>96087</v>
      </c>
      <c r="H11" s="10">
        <f>SUM(H12:H14)</f>
        <v>96087</v>
      </c>
      <c r="I11" s="10">
        <f t="shared" ref="I11:J11" si="2">SUM(I12:I14)</f>
        <v>0</v>
      </c>
      <c r="J11" s="79">
        <f t="shared" si="2"/>
        <v>0</v>
      </c>
    </row>
    <row r="12" spans="2:10" ht="26.25" thickBot="1" x14ac:dyDescent="0.3">
      <c r="B12" s="9" t="s">
        <v>101</v>
      </c>
      <c r="C12" s="68">
        <f>16456+1030</f>
        <v>17486</v>
      </c>
      <c r="D12" s="68">
        <f>42</f>
        <v>42</v>
      </c>
      <c r="E12" s="15" t="s">
        <v>9</v>
      </c>
      <c r="F12" s="27">
        <f>G12-C12-D12-(D13-H13)</f>
        <v>6737</v>
      </c>
      <c r="G12" s="17">
        <f t="shared" si="0"/>
        <v>39593</v>
      </c>
      <c r="H12" s="11">
        <f>12983+(588+782+548+120)+(18162-675)+(4334-43)+2794</f>
        <v>39593</v>
      </c>
      <c r="I12" s="11"/>
      <c r="J12" s="80"/>
    </row>
    <row r="13" spans="2:10" ht="30" customHeight="1" thickBot="1" x14ac:dyDescent="0.3">
      <c r="B13" s="9" t="s">
        <v>102</v>
      </c>
      <c r="C13" s="11"/>
      <c r="D13" s="68">
        <f>18298+16973-86-6037+2407</f>
        <v>31555</v>
      </c>
      <c r="E13" s="186" t="s">
        <v>138</v>
      </c>
      <c r="F13" s="187"/>
      <c r="G13" s="17">
        <f t="shared" si="0"/>
        <v>16227</v>
      </c>
      <c r="H13" s="68">
        <f>6123+10104</f>
        <v>16227</v>
      </c>
      <c r="I13" s="11"/>
      <c r="J13" s="80"/>
    </row>
    <row r="14" spans="2:10" ht="15.75" thickBot="1" x14ac:dyDescent="0.3">
      <c r="B14" s="9" t="s">
        <v>68</v>
      </c>
      <c r="C14" s="11"/>
      <c r="D14" s="11"/>
      <c r="E14" s="15" t="s">
        <v>9</v>
      </c>
      <c r="F14" s="27">
        <f>G14-C14-D14</f>
        <v>40267</v>
      </c>
      <c r="G14" s="17">
        <f t="shared" si="0"/>
        <v>40267</v>
      </c>
      <c r="H14" s="68">
        <v>40267</v>
      </c>
      <c r="I14" s="11"/>
      <c r="J14" s="80"/>
    </row>
    <row r="15" spans="2:10" ht="26.25" thickBot="1" x14ac:dyDescent="0.3">
      <c r="B15" s="8" t="s">
        <v>13</v>
      </c>
      <c r="C15" s="10">
        <f>SUM(C16:C19)</f>
        <v>344246</v>
      </c>
      <c r="D15" s="10">
        <f>SUM(D16:D19)</f>
        <v>46444</v>
      </c>
      <c r="E15" s="14" t="s">
        <v>35</v>
      </c>
      <c r="F15" s="26">
        <f>G15-C15-D15</f>
        <v>77425</v>
      </c>
      <c r="G15" s="56">
        <f t="shared" si="0"/>
        <v>468115</v>
      </c>
      <c r="H15" s="10">
        <f>SUM(H16:H19)</f>
        <v>457250</v>
      </c>
      <c r="I15" s="10">
        <f>SUM(I16:I19)</f>
        <v>10865</v>
      </c>
      <c r="J15" s="79">
        <f>SUM(J16:J19)</f>
        <v>55457</v>
      </c>
    </row>
    <row r="16" spans="2:10" ht="15.75" thickBot="1" x14ac:dyDescent="0.3">
      <c r="B16" s="9" t="s">
        <v>69</v>
      </c>
      <c r="C16" s="68">
        <v>231390</v>
      </c>
      <c r="D16" s="11"/>
      <c r="E16" s="15" t="s">
        <v>10</v>
      </c>
      <c r="F16" s="27">
        <f>G16-C16-D16</f>
        <v>47213</v>
      </c>
      <c r="G16" s="17">
        <f t="shared" si="0"/>
        <v>278603</v>
      </c>
      <c r="H16" s="68">
        <v>267738</v>
      </c>
      <c r="I16" s="68">
        <v>10865</v>
      </c>
      <c r="J16" s="80"/>
    </row>
    <row r="17" spans="2:10" ht="32.1" customHeight="1" thickBot="1" x14ac:dyDescent="0.3">
      <c r="B17" s="9" t="s">
        <v>70</v>
      </c>
      <c r="C17" s="68">
        <v>37973</v>
      </c>
      <c r="D17" s="68">
        <v>8916</v>
      </c>
      <c r="E17" s="15" t="s">
        <v>10</v>
      </c>
      <c r="F17" s="27">
        <f>G17-C17-D17</f>
        <v>8962</v>
      </c>
      <c r="G17" s="17">
        <f t="shared" si="0"/>
        <v>55851</v>
      </c>
      <c r="H17" s="68">
        <v>55851</v>
      </c>
      <c r="I17" s="68"/>
      <c r="J17" s="80"/>
    </row>
    <row r="18" spans="2:10" ht="26.25" thickBot="1" x14ac:dyDescent="0.3">
      <c r="B18" s="9" t="s">
        <v>71</v>
      </c>
      <c r="C18" s="68">
        <f>55444+19439</f>
        <v>74883</v>
      </c>
      <c r="D18" s="68">
        <f>33750+3778</f>
        <v>37528</v>
      </c>
      <c r="E18" s="15" t="s">
        <v>10</v>
      </c>
      <c r="F18" s="69">
        <f t="shared" ref="F18:F19" si="3">G18-C18-D18</f>
        <v>21250</v>
      </c>
      <c r="G18" s="17">
        <f t="shared" si="0"/>
        <v>133661</v>
      </c>
      <c r="H18" s="68">
        <f>83600+22572+21645+5844</f>
        <v>133661</v>
      </c>
      <c r="I18" s="68"/>
      <c r="J18" s="80"/>
    </row>
    <row r="19" spans="2:10" ht="39" thickBot="1" x14ac:dyDescent="0.3">
      <c r="B19" s="9" t="s">
        <v>130</v>
      </c>
      <c r="C19" s="11"/>
      <c r="D19" s="11"/>
      <c r="E19" s="15" t="s">
        <v>10</v>
      </c>
      <c r="F19" s="27">
        <f t="shared" si="3"/>
        <v>0</v>
      </c>
      <c r="G19" s="17">
        <f t="shared" si="0"/>
        <v>0</v>
      </c>
      <c r="H19" s="68"/>
      <c r="I19" s="68"/>
      <c r="J19" s="90">
        <f>41329+14128</f>
        <v>55457</v>
      </c>
    </row>
    <row r="20" spans="2:10" ht="26.25" thickBot="1" x14ac:dyDescent="0.3">
      <c r="B20" s="8" t="s">
        <v>38</v>
      </c>
      <c r="C20" s="10">
        <f>SUM(C21:C25)</f>
        <v>11748</v>
      </c>
      <c r="D20" s="10">
        <f>SUM(D21:D25)</f>
        <v>0</v>
      </c>
      <c r="E20" s="14" t="s">
        <v>28</v>
      </c>
      <c r="F20" s="26">
        <f>G20-C20-D20</f>
        <v>125063</v>
      </c>
      <c r="G20" s="56">
        <f>H20+I20</f>
        <v>136811</v>
      </c>
      <c r="H20" s="10">
        <f>SUM(H21:H25)</f>
        <v>0</v>
      </c>
      <c r="I20" s="10">
        <f>SUM(I21:I25)</f>
        <v>136811</v>
      </c>
      <c r="J20" s="79">
        <f>SUM(J21:J25)</f>
        <v>6670</v>
      </c>
    </row>
    <row r="21" spans="2:10" ht="15.75" thickBot="1" x14ac:dyDescent="0.3">
      <c r="B21" s="41" t="s">
        <v>72</v>
      </c>
      <c r="C21" s="68">
        <v>2302</v>
      </c>
      <c r="D21" s="11"/>
      <c r="E21" s="15" t="s">
        <v>10</v>
      </c>
      <c r="F21" s="27">
        <f>G21-C21-D21</f>
        <v>5465</v>
      </c>
      <c r="G21" s="17">
        <f>H21+I21</f>
        <v>7767</v>
      </c>
      <c r="H21" s="68"/>
      <c r="I21" s="68">
        <v>7767</v>
      </c>
      <c r="J21" s="90">
        <v>2160</v>
      </c>
    </row>
    <row r="22" spans="2:10" ht="26.25" thickBot="1" x14ac:dyDescent="0.3">
      <c r="B22" s="41" t="s">
        <v>73</v>
      </c>
      <c r="C22" s="68">
        <v>9446</v>
      </c>
      <c r="D22" s="11"/>
      <c r="E22" s="15" t="s">
        <v>9</v>
      </c>
      <c r="F22" s="27">
        <f>G22-C22-D22</f>
        <v>21811</v>
      </c>
      <c r="G22" s="17">
        <f>H22+I22</f>
        <v>31257</v>
      </c>
      <c r="H22" s="68"/>
      <c r="I22" s="68">
        <v>31257</v>
      </c>
      <c r="J22" s="80"/>
    </row>
    <row r="23" spans="2:10" ht="15.75" thickBot="1" x14ac:dyDescent="0.3">
      <c r="B23" s="41" t="s">
        <v>74</v>
      </c>
      <c r="C23" s="11"/>
      <c r="D23" s="11"/>
      <c r="E23" s="15" t="s">
        <v>9</v>
      </c>
      <c r="F23" s="27">
        <f>G23-C23-D23</f>
        <v>6227</v>
      </c>
      <c r="G23" s="17">
        <f>H23+I23</f>
        <v>6227</v>
      </c>
      <c r="H23" s="68"/>
      <c r="I23" s="68">
        <v>6227</v>
      </c>
      <c r="J23" s="80"/>
    </row>
    <row r="24" spans="2:10" ht="39" thickBot="1" x14ac:dyDescent="0.3">
      <c r="B24" s="41" t="s">
        <v>127</v>
      </c>
      <c r="C24" s="11"/>
      <c r="D24" s="11"/>
      <c r="E24" s="15" t="s">
        <v>9</v>
      </c>
      <c r="F24" s="27">
        <f t="shared" ref="F24:F25" si="4">G24-C24-D24</f>
        <v>91560</v>
      </c>
      <c r="G24" s="17">
        <f>H24+I24</f>
        <v>91560</v>
      </c>
      <c r="H24" s="68"/>
      <c r="I24" s="68">
        <v>91560</v>
      </c>
      <c r="J24" s="84"/>
    </row>
    <row r="25" spans="2:10" ht="26.25" thickBot="1" x14ac:dyDescent="0.3">
      <c r="B25" s="41" t="s">
        <v>75</v>
      </c>
      <c r="C25" s="11"/>
      <c r="D25" s="11"/>
      <c r="E25" s="15" t="s">
        <v>9</v>
      </c>
      <c r="F25" s="27">
        <f t="shared" si="4"/>
        <v>0</v>
      </c>
      <c r="G25" s="17">
        <f t="shared" ref="G25" si="5">H25+I25</f>
        <v>0</v>
      </c>
      <c r="H25" s="11"/>
      <c r="I25" s="11"/>
      <c r="J25" s="90">
        <v>4510</v>
      </c>
    </row>
    <row r="26" spans="2:10" ht="15.75" thickBot="1" x14ac:dyDescent="0.3">
      <c r="B26" s="8" t="s">
        <v>14</v>
      </c>
      <c r="C26" s="10">
        <f>SUM(C27:C29)</f>
        <v>16828</v>
      </c>
      <c r="D26" s="10">
        <f>SUM(D27:D29)</f>
        <v>0</v>
      </c>
      <c r="E26" s="14" t="s">
        <v>9</v>
      </c>
      <c r="F26" s="26">
        <f>G26-C26-D26</f>
        <v>23832</v>
      </c>
      <c r="G26" s="56">
        <f>H26+I26</f>
        <v>40660</v>
      </c>
      <c r="H26" s="10">
        <f>SUM(H27:H29)</f>
        <v>22258</v>
      </c>
      <c r="I26" s="10">
        <f t="shared" ref="I26:J26" si="6">SUM(I27:I29)</f>
        <v>18402</v>
      </c>
      <c r="J26" s="79">
        <f t="shared" si="6"/>
        <v>621</v>
      </c>
    </row>
    <row r="27" spans="2:10" ht="24.75" thickBot="1" x14ac:dyDescent="0.3">
      <c r="B27" s="9" t="s">
        <v>76</v>
      </c>
      <c r="C27" s="11"/>
      <c r="D27" s="11"/>
      <c r="E27" s="15" t="s">
        <v>41</v>
      </c>
      <c r="F27" s="27">
        <f>G27-C27-D27</f>
        <v>11762</v>
      </c>
      <c r="G27" s="17">
        <f>H27+I27</f>
        <v>11762</v>
      </c>
      <c r="H27" s="61"/>
      <c r="I27" s="68">
        <v>11762</v>
      </c>
      <c r="J27" s="90">
        <v>621</v>
      </c>
    </row>
    <row r="28" spans="2:10" ht="39" thickBot="1" x14ac:dyDescent="0.3">
      <c r="B28" s="9" t="s">
        <v>77</v>
      </c>
      <c r="C28" s="68">
        <v>5304</v>
      </c>
      <c r="D28" s="11"/>
      <c r="E28" s="15" t="s">
        <v>10</v>
      </c>
      <c r="F28" s="27">
        <f>G28-C28-D28</f>
        <v>1336</v>
      </c>
      <c r="G28" s="17">
        <f>H28+I28</f>
        <v>6640</v>
      </c>
      <c r="H28" s="61"/>
      <c r="I28" s="68">
        <v>6640</v>
      </c>
      <c r="J28" s="80"/>
    </row>
    <row r="29" spans="2:10" ht="15.75" thickBot="1" x14ac:dyDescent="0.3">
      <c r="B29" s="9" t="s">
        <v>78</v>
      </c>
      <c r="C29" s="68">
        <v>11524</v>
      </c>
      <c r="D29" s="11"/>
      <c r="E29" s="15" t="s">
        <v>10</v>
      </c>
      <c r="F29" s="69">
        <f t="shared" ref="F29" si="7">G29-C29-D29</f>
        <v>10734</v>
      </c>
      <c r="G29" s="17">
        <f t="shared" ref="G29" si="8">H29+I29</f>
        <v>22258</v>
      </c>
      <c r="H29" s="68">
        <v>22258</v>
      </c>
      <c r="I29" s="68">
        <v>0</v>
      </c>
      <c r="J29" s="80"/>
    </row>
    <row r="30" spans="2:10" ht="34.35" customHeight="1" thickBot="1" x14ac:dyDescent="0.3">
      <c r="B30" s="8" t="s">
        <v>15</v>
      </c>
      <c r="C30" s="10">
        <f>SUM(C31:C34)</f>
        <v>158879</v>
      </c>
      <c r="D30" s="10">
        <f>SUM(D31:D34)</f>
        <v>0</v>
      </c>
      <c r="E30" s="14" t="s">
        <v>9</v>
      </c>
      <c r="F30" s="26">
        <f>G30-C30-D30</f>
        <v>20635</v>
      </c>
      <c r="G30" s="56">
        <f>H30+I30</f>
        <v>179514</v>
      </c>
      <c r="H30" s="10">
        <f>SUM(H31:H34)</f>
        <v>179514</v>
      </c>
      <c r="I30" s="10">
        <f>SUM(I31:I34)</f>
        <v>0</v>
      </c>
      <c r="J30" s="79">
        <f>SUM(J31:J34)</f>
        <v>0</v>
      </c>
    </row>
    <row r="31" spans="2:10" ht="26.25" thickBot="1" x14ac:dyDescent="0.3">
      <c r="B31" s="9" t="s">
        <v>133</v>
      </c>
      <c r="C31" s="155"/>
      <c r="D31" s="11"/>
      <c r="E31" s="15" t="s">
        <v>9</v>
      </c>
      <c r="F31" s="171">
        <f>(G31+G32)-C31</f>
        <v>4300</v>
      </c>
      <c r="G31" s="17">
        <f>H31+I31</f>
        <v>4300</v>
      </c>
      <c r="H31" s="68">
        <v>4300</v>
      </c>
      <c r="I31" s="11"/>
      <c r="J31" s="80"/>
    </row>
    <row r="32" spans="2:10" ht="39" thickBot="1" x14ac:dyDescent="0.3">
      <c r="B32" s="9" t="s">
        <v>79</v>
      </c>
      <c r="C32" s="156"/>
      <c r="D32" s="11"/>
      <c r="E32" s="15" t="s">
        <v>9</v>
      </c>
      <c r="F32" s="172"/>
      <c r="G32" s="17">
        <f t="shared" ref="G32" si="9">H32+I32</f>
        <v>0</v>
      </c>
      <c r="H32" s="87"/>
      <c r="I32" s="11"/>
      <c r="J32" s="80"/>
    </row>
    <row r="33" spans="2:10" ht="39" thickBot="1" x14ac:dyDescent="0.3">
      <c r="B33" s="9" t="s">
        <v>128</v>
      </c>
      <c r="C33" s="68">
        <v>158839</v>
      </c>
      <c r="D33" s="11"/>
      <c r="E33" s="15" t="s">
        <v>9</v>
      </c>
      <c r="F33" s="27">
        <f>G33-C33-D33</f>
        <v>16335</v>
      </c>
      <c r="G33" s="17">
        <f>H33+I33</f>
        <v>175174</v>
      </c>
      <c r="H33" s="68">
        <f>158839+16335</f>
        <v>175174</v>
      </c>
      <c r="I33" s="11"/>
      <c r="J33" s="80"/>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3563</v>
      </c>
      <c r="E35" s="14" t="s">
        <v>9</v>
      </c>
      <c r="F35" s="26">
        <f>G35-C35-D35</f>
        <v>16227</v>
      </c>
      <c r="G35" s="56">
        <f>H35+I35</f>
        <v>19790</v>
      </c>
      <c r="H35" s="10">
        <f>SUM(H36:H39)</f>
        <v>9996</v>
      </c>
      <c r="I35" s="10">
        <f t="shared" ref="I35:J35" si="12">SUM(I36:I39)</f>
        <v>9794</v>
      </c>
      <c r="J35" s="79">
        <f t="shared" si="12"/>
        <v>1316</v>
      </c>
    </row>
    <row r="36" spans="2:10" ht="15.75" thickBot="1" x14ac:dyDescent="0.3">
      <c r="B36" s="9" t="s">
        <v>81</v>
      </c>
      <c r="C36" s="68"/>
      <c r="D36" s="11"/>
      <c r="E36" s="67" t="s">
        <v>9</v>
      </c>
      <c r="F36" s="27">
        <f>G36-C36-D36</f>
        <v>688</v>
      </c>
      <c r="G36" s="17">
        <f>H36+I36</f>
        <v>688</v>
      </c>
      <c r="H36" s="68">
        <v>688</v>
      </c>
      <c r="I36" s="68"/>
      <c r="J36" s="80"/>
    </row>
    <row r="37" spans="2:10" ht="26.25" thickBot="1" x14ac:dyDescent="0.3">
      <c r="B37" s="9" t="s">
        <v>82</v>
      </c>
      <c r="C37" s="11"/>
      <c r="D37" s="11">
        <v>3000</v>
      </c>
      <c r="E37" s="67" t="s">
        <v>10</v>
      </c>
      <c r="F37" s="27">
        <f>G37-C37-D37</f>
        <v>9794</v>
      </c>
      <c r="G37" s="17">
        <f>H37+I37</f>
        <v>12794</v>
      </c>
      <c r="H37" s="68">
        <v>3000</v>
      </c>
      <c r="I37" s="68">
        <v>9794</v>
      </c>
      <c r="J37" s="90">
        <v>1316</v>
      </c>
    </row>
    <row r="38" spans="2:10" ht="15.75" thickBot="1" x14ac:dyDescent="0.3">
      <c r="B38" s="9" t="s">
        <v>83</v>
      </c>
      <c r="C38" s="11"/>
      <c r="D38" s="11">
        <v>563</v>
      </c>
      <c r="E38" s="67" t="s">
        <v>9</v>
      </c>
      <c r="F38" s="27">
        <f t="shared" ref="F38:F39" si="13">G38-C38-D38</f>
        <v>2382</v>
      </c>
      <c r="G38" s="17">
        <f t="shared" ref="G38:G39" si="14">H38+I38</f>
        <v>2945</v>
      </c>
      <c r="H38" s="68">
        <v>2945</v>
      </c>
      <c r="I38" s="68"/>
      <c r="J38" s="80"/>
    </row>
    <row r="39" spans="2:10" ht="15.75" thickBot="1" x14ac:dyDescent="0.3">
      <c r="B39" s="9" t="s">
        <v>84</v>
      </c>
      <c r="C39" s="11"/>
      <c r="D39" s="11"/>
      <c r="E39" s="67" t="s">
        <v>9</v>
      </c>
      <c r="F39" s="27">
        <f t="shared" si="13"/>
        <v>3363</v>
      </c>
      <c r="G39" s="17">
        <f t="shared" si="14"/>
        <v>3363</v>
      </c>
      <c r="H39" s="68">
        <f>1188+2175</f>
        <v>3363</v>
      </c>
      <c r="I39" s="68"/>
      <c r="J39" s="80"/>
    </row>
    <row r="40" spans="2:10" ht="15.75" thickBot="1" x14ac:dyDescent="0.3">
      <c r="B40" s="8" t="s">
        <v>17</v>
      </c>
      <c r="C40" s="10">
        <f>SUM(C41:C44)</f>
        <v>13006</v>
      </c>
      <c r="D40" s="10">
        <f>SUM(D41:D44)</f>
        <v>0</v>
      </c>
      <c r="E40" s="14" t="s">
        <v>9</v>
      </c>
      <c r="F40" s="26">
        <f>G40-C40-D40</f>
        <v>108791</v>
      </c>
      <c r="G40" s="56">
        <f>H40+I40</f>
        <v>121797</v>
      </c>
      <c r="H40" s="10">
        <f>SUM(H41:H44)</f>
        <v>1301</v>
      </c>
      <c r="I40" s="10">
        <f>SUM(I41:I44)</f>
        <v>120496</v>
      </c>
      <c r="J40" s="79">
        <f>SUM(J41:J44)</f>
        <v>6480</v>
      </c>
    </row>
    <row r="41" spans="2:10" ht="39" thickBot="1" x14ac:dyDescent="0.3">
      <c r="B41" s="9" t="s">
        <v>129</v>
      </c>
      <c r="C41" s="155">
        <v>13006</v>
      </c>
      <c r="D41" s="11"/>
      <c r="E41" s="15" t="s">
        <v>9</v>
      </c>
      <c r="F41" s="27">
        <f>G41-C41-D41</f>
        <v>64170</v>
      </c>
      <c r="G41" s="17">
        <f>H41+I41</f>
        <v>77176</v>
      </c>
      <c r="H41" s="68"/>
      <c r="I41" s="68">
        <f>71176+6000</f>
        <v>77176</v>
      </c>
      <c r="J41" s="90">
        <v>3684</v>
      </c>
    </row>
    <row r="42" spans="2:10" ht="15.75" thickBot="1" x14ac:dyDescent="0.3">
      <c r="B42" s="9" t="s">
        <v>85</v>
      </c>
      <c r="C42" s="157"/>
      <c r="D42" s="11"/>
      <c r="E42" s="15" t="s">
        <v>9</v>
      </c>
      <c r="F42" s="27">
        <f>G42-C42-D42</f>
        <v>12500</v>
      </c>
      <c r="G42" s="17">
        <f>H42+I42</f>
        <v>12500</v>
      </c>
      <c r="H42" s="68"/>
      <c r="I42" s="68">
        <v>12500</v>
      </c>
      <c r="J42" s="80"/>
    </row>
    <row r="43" spans="2:10" ht="26.25" thickBot="1" x14ac:dyDescent="0.3">
      <c r="B43" s="9" t="s">
        <v>86</v>
      </c>
      <c r="C43" s="157"/>
      <c r="D43" s="11"/>
      <c r="E43" s="15" t="s">
        <v>9</v>
      </c>
      <c r="F43" s="27">
        <f t="shared" ref="F43:F44" si="15">G43-C43-D43</f>
        <v>12706</v>
      </c>
      <c r="G43" s="17">
        <f t="shared" ref="G43:G44" si="16">H43+I43</f>
        <v>12706</v>
      </c>
      <c r="H43" s="68">
        <v>1301</v>
      </c>
      <c r="I43" s="68">
        <v>11405</v>
      </c>
      <c r="J43" s="90">
        <v>396</v>
      </c>
    </row>
    <row r="44" spans="2:10" ht="15.75" thickBot="1" x14ac:dyDescent="0.3">
      <c r="B44" s="53" t="s">
        <v>87</v>
      </c>
      <c r="C44" s="156"/>
      <c r="D44" s="47"/>
      <c r="E44" s="15" t="s">
        <v>9</v>
      </c>
      <c r="F44" s="54">
        <f t="shared" si="15"/>
        <v>19415</v>
      </c>
      <c r="G44" s="55">
        <f t="shared" si="16"/>
        <v>19415</v>
      </c>
      <c r="H44" s="88"/>
      <c r="I44" s="88">
        <v>19415</v>
      </c>
      <c r="J44" s="91">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162</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21700</v>
      </c>
      <c r="G52" s="56">
        <f>H52+I52</f>
        <v>21700</v>
      </c>
      <c r="H52" s="10">
        <f>SUM(H53:H56)</f>
        <v>16700</v>
      </c>
      <c r="I52" s="10">
        <f>SUM(I53:I56)</f>
        <v>5000</v>
      </c>
      <c r="J52" s="79">
        <f>SUM(J53:J56)</f>
        <v>0</v>
      </c>
    </row>
    <row r="53" spans="2:10" ht="26.25" thickBot="1" x14ac:dyDescent="0.3">
      <c r="B53" s="9" t="s">
        <v>88</v>
      </c>
      <c r="C53" s="11"/>
      <c r="D53" s="11"/>
      <c r="E53" s="15" t="s">
        <v>19</v>
      </c>
      <c r="F53" s="27">
        <f>G53-C53-D53</f>
        <v>4000</v>
      </c>
      <c r="G53" s="17">
        <f>H53+I53</f>
        <v>4000</v>
      </c>
      <c r="H53" s="68">
        <v>4000</v>
      </c>
      <c r="I53" s="11"/>
      <c r="J53" s="80"/>
    </row>
    <row r="54" spans="2:10" ht="21" customHeight="1" thickBot="1" x14ac:dyDescent="0.3">
      <c r="B54" s="9" t="s">
        <v>89</v>
      </c>
      <c r="C54" s="11"/>
      <c r="D54" s="11"/>
      <c r="E54" s="15" t="s">
        <v>19</v>
      </c>
      <c r="F54" s="27">
        <f t="shared" ref="F54" si="17">G54-C54-D54</f>
        <v>1000</v>
      </c>
      <c r="G54" s="17">
        <f t="shared" ref="G54" si="18">H54+I54</f>
        <v>1000</v>
      </c>
      <c r="H54" s="68">
        <v>1000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90">
        <v>54375</v>
      </c>
    </row>
    <row r="59" spans="2:10" ht="15.75" thickBot="1" x14ac:dyDescent="0.3">
      <c r="B59" s="9" t="s">
        <v>92</v>
      </c>
      <c r="C59" s="11"/>
      <c r="D59" s="11"/>
      <c r="E59" s="15" t="s">
        <v>9</v>
      </c>
      <c r="F59" s="27">
        <f>G59-C59-D59</f>
        <v>0</v>
      </c>
      <c r="G59" s="17">
        <f>H59+I59</f>
        <v>0</v>
      </c>
      <c r="H59" s="11">
        <v>0</v>
      </c>
      <c r="I59" s="11"/>
      <c r="J59" s="90">
        <v>29426</v>
      </c>
    </row>
    <row r="60" spans="2:10" ht="32.1" customHeight="1" thickBot="1" x14ac:dyDescent="0.3">
      <c r="B60" s="9" t="s">
        <v>93</v>
      </c>
      <c r="C60" s="11"/>
      <c r="D60" s="11"/>
      <c r="E60" s="15" t="s">
        <v>9</v>
      </c>
      <c r="F60" s="27">
        <f t="shared" ref="F60:F62" si="22">G60-C60-D60</f>
        <v>0</v>
      </c>
      <c r="G60" s="17">
        <f t="shared" ref="G60:G61" si="23">H60+I60</f>
        <v>0</v>
      </c>
      <c r="H60" s="11">
        <v>0</v>
      </c>
      <c r="I60" s="11"/>
      <c r="J60" s="9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696653</v>
      </c>
      <c r="D62" s="21">
        <f>D57+D52+D40+D35+D30+D26+D20+D15+D11+D8</f>
        <v>112737</v>
      </c>
      <c r="E62" s="43"/>
      <c r="F62" s="31">
        <f t="shared" si="22"/>
        <v>659910</v>
      </c>
      <c r="G62" s="44">
        <f>G57+G52+G40+G35+G30+G26+G20+G15+G11+G8</f>
        <v>1469300</v>
      </c>
      <c r="H62" s="21">
        <f>H57+H52+H40+H35+H30+H26+H20+H15+H11+H8</f>
        <v>1159327</v>
      </c>
      <c r="I62" s="45">
        <f>I57+I52+I40+I35+I30+I26+I20+I15+I11+I8</f>
        <v>309973</v>
      </c>
      <c r="J62" s="46">
        <f>J57+J52+J40+J35+J30+J26+J20+J15+J11+J8</f>
        <v>209804</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0</v>
      </c>
      <c r="D66" s="10">
        <f>SUM(D67:D70)</f>
        <v>42146</v>
      </c>
      <c r="E66" s="14"/>
      <c r="F66" s="10">
        <f>SUM(F67:F70)</f>
        <v>-32410</v>
      </c>
      <c r="G66" s="86">
        <f>SUM(G67:G70)</f>
        <v>9736</v>
      </c>
      <c r="H66" s="162"/>
      <c r="I66" s="163"/>
      <c r="J66" s="163"/>
    </row>
    <row r="67" spans="2:10" ht="45.75" thickBot="1" x14ac:dyDescent="0.3">
      <c r="B67" s="9" t="s">
        <v>95</v>
      </c>
      <c r="C67" s="11"/>
      <c r="D67" s="11"/>
      <c r="E67" s="66" t="s">
        <v>50</v>
      </c>
      <c r="F67" s="27">
        <v>10000</v>
      </c>
      <c r="G67" s="77">
        <f>C67+D67+F67</f>
        <v>10000</v>
      </c>
      <c r="H67" s="162"/>
      <c r="I67" s="163"/>
      <c r="J67" s="163"/>
    </row>
    <row r="68" spans="2:10" ht="45.75" thickBot="1" x14ac:dyDescent="0.3">
      <c r="B68" s="9" t="s">
        <v>96</v>
      </c>
      <c r="C68" s="11"/>
      <c r="D68" s="68">
        <f>315+22358+86+6037</f>
        <v>28796</v>
      </c>
      <c r="E68" s="66" t="s">
        <v>47</v>
      </c>
      <c r="F68" s="27"/>
      <c r="G68" s="77">
        <f>C68+D68+F68-F75</f>
        <v>28796</v>
      </c>
      <c r="H68" s="162"/>
      <c r="I68" s="163"/>
      <c r="J68" s="163"/>
    </row>
    <row r="69" spans="2:10" ht="45.75" thickBot="1" x14ac:dyDescent="0.3">
      <c r="B69" s="9" t="s">
        <v>97</v>
      </c>
      <c r="C69" s="11"/>
      <c r="D69" s="11"/>
      <c r="E69" s="66" t="s">
        <v>150</v>
      </c>
      <c r="F69" s="27"/>
      <c r="G69" s="77">
        <f>C69+D69+F69</f>
        <v>0</v>
      </c>
      <c r="H69" s="164"/>
      <c r="I69" s="165"/>
      <c r="J69" s="165"/>
    </row>
    <row r="70" spans="2:10" ht="44.1" customHeight="1" thickBot="1" x14ac:dyDescent="0.3">
      <c r="B70" s="9" t="s">
        <v>107</v>
      </c>
      <c r="C70" s="11"/>
      <c r="D70" s="68">
        <v>13350</v>
      </c>
      <c r="E70" s="66" t="s">
        <v>148</v>
      </c>
      <c r="F70" s="83">
        <f>G95</f>
        <v>-42410</v>
      </c>
      <c r="G70" s="77">
        <f>C70+D70+F70-F73-F74-F78-F79-F80-F81-F82-F83-F84-F85-F86</f>
        <v>-29060</v>
      </c>
      <c r="H70" s="173" t="s">
        <v>149</v>
      </c>
      <c r="I70" s="174"/>
      <c r="J70" s="174"/>
    </row>
    <row r="71" spans="2:10" ht="34.3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25000</v>
      </c>
      <c r="E72" s="14"/>
      <c r="F72" s="26">
        <f>SUM(F73:F76)</f>
        <v>0</v>
      </c>
      <c r="G72" s="56">
        <f>SUM(C72+D72+F72)</f>
        <v>25000</v>
      </c>
      <c r="H72" s="158" t="s">
        <v>131</v>
      </c>
      <c r="I72" s="159"/>
      <c r="J72" s="159"/>
    </row>
    <row r="73" spans="2:10" ht="27" customHeight="1" thickBot="1" x14ac:dyDescent="0.3">
      <c r="B73" s="9" t="s">
        <v>98</v>
      </c>
      <c r="C73" s="11"/>
      <c r="D73" s="11"/>
      <c r="E73" s="66" t="s">
        <v>51</v>
      </c>
      <c r="F73" s="69"/>
      <c r="G73" s="17">
        <f t="shared" ref="G73:G75" si="24">SUM(C73+D73+F73)</f>
        <v>0</v>
      </c>
      <c r="H73" s="129" t="s">
        <v>53</v>
      </c>
      <c r="I73" s="129" t="s">
        <v>64</v>
      </c>
      <c r="J73" s="129" t="s">
        <v>132</v>
      </c>
    </row>
    <row r="74" spans="2:10" ht="26.25" thickBot="1" x14ac:dyDescent="0.3">
      <c r="B74" s="9" t="s">
        <v>106</v>
      </c>
      <c r="C74" s="11"/>
      <c r="D74" s="11"/>
      <c r="E74" s="66" t="s">
        <v>51</v>
      </c>
      <c r="F74" s="69"/>
      <c r="G74" s="77">
        <f t="shared" si="24"/>
        <v>0</v>
      </c>
      <c r="H74" s="130"/>
      <c r="I74" s="130"/>
      <c r="J74" s="130"/>
    </row>
    <row r="75" spans="2:10" ht="26.25" thickBot="1" x14ac:dyDescent="0.3">
      <c r="B75" s="9" t="s">
        <v>99</v>
      </c>
      <c r="C75" s="11"/>
      <c r="D75" s="11"/>
      <c r="E75" s="66" t="s">
        <v>152</v>
      </c>
      <c r="F75" s="69"/>
      <c r="G75" s="77">
        <f t="shared" si="24"/>
        <v>0</v>
      </c>
      <c r="H75" s="130"/>
      <c r="I75" s="130"/>
      <c r="J75" s="130"/>
    </row>
    <row r="76" spans="2:10" ht="26.25" thickBot="1" x14ac:dyDescent="0.3">
      <c r="B76" s="9" t="s">
        <v>100</v>
      </c>
      <c r="C76" s="11"/>
      <c r="D76" s="11">
        <v>25000</v>
      </c>
      <c r="E76" s="66" t="s">
        <v>9</v>
      </c>
      <c r="F76" s="69"/>
      <c r="G76" s="77">
        <f>SUM(C76+D76+F76)</f>
        <v>25000</v>
      </c>
      <c r="H76" s="131"/>
      <c r="I76" s="131"/>
      <c r="J76" s="131"/>
    </row>
    <row r="77" spans="2:10" ht="26.25" thickBot="1" x14ac:dyDescent="0.3">
      <c r="B77" s="8" t="s">
        <v>57</v>
      </c>
      <c r="C77" s="10">
        <f>SUM(C79:C86)</f>
        <v>0</v>
      </c>
      <c r="D77" s="10">
        <f>SUM(D79:D86)</f>
        <v>0</v>
      </c>
      <c r="E77" s="14"/>
      <c r="F77" s="10">
        <f>SUM(F78:F86)</f>
        <v>0</v>
      </c>
      <c r="G77" s="56">
        <f>SUM(C77+D77+F77)</f>
        <v>0</v>
      </c>
      <c r="H77" s="62">
        <f>SUM(H79:H86)</f>
        <v>0</v>
      </c>
      <c r="I77" s="65">
        <f>SUM(I79:I86)</f>
        <v>0</v>
      </c>
      <c r="J77" s="65">
        <f>SUM(J79:J86)</f>
        <v>0</v>
      </c>
    </row>
    <row r="78" spans="2:10" ht="46.35" customHeight="1" thickBot="1" x14ac:dyDescent="0.3">
      <c r="B78" s="9" t="s">
        <v>52</v>
      </c>
      <c r="C78" s="11"/>
      <c r="D78" s="11"/>
      <c r="E78" s="126" t="s">
        <v>151</v>
      </c>
      <c r="F78" s="27"/>
      <c r="G78" s="17">
        <f t="shared" ref="G78:G86" si="25">C78+D78+F78</f>
        <v>0</v>
      </c>
      <c r="H78" s="63"/>
      <c r="I78" s="63"/>
      <c r="J78" s="64">
        <f>SUM(G78:I78)</f>
        <v>0</v>
      </c>
    </row>
    <row r="79" spans="2:10" ht="15" customHeight="1" thickBot="1" x14ac:dyDescent="0.3">
      <c r="B79" s="9" t="s">
        <v>157</v>
      </c>
      <c r="C79" s="11"/>
      <c r="D79" s="11"/>
      <c r="E79" s="127"/>
      <c r="F79" s="27"/>
      <c r="G79" s="17">
        <f t="shared" si="25"/>
        <v>0</v>
      </c>
      <c r="H79" s="63"/>
      <c r="I79" s="63"/>
      <c r="J79" s="64">
        <f>SUM(G79:I79)</f>
        <v>0</v>
      </c>
    </row>
    <row r="80" spans="2:10" ht="15.75" thickBot="1" x14ac:dyDescent="0.3">
      <c r="B80" s="9" t="s">
        <v>26</v>
      </c>
      <c r="C80" s="68"/>
      <c r="D80" s="11"/>
      <c r="E80" s="127"/>
      <c r="F80" s="27"/>
      <c r="G80" s="77">
        <f t="shared" si="25"/>
        <v>0</v>
      </c>
      <c r="H80" s="63"/>
      <c r="I80" s="63"/>
      <c r="J80" s="64">
        <f t="shared" ref="J80:J86" si="26">SUM(G80:I80)</f>
        <v>0</v>
      </c>
    </row>
    <row r="81" spans="2:10" ht="15.75" thickBot="1" x14ac:dyDescent="0.3">
      <c r="B81" s="9" t="s">
        <v>25</v>
      </c>
      <c r="C81" s="68"/>
      <c r="D81" s="11"/>
      <c r="E81" s="127"/>
      <c r="F81" s="27"/>
      <c r="G81" s="77">
        <f t="shared" si="25"/>
        <v>0</v>
      </c>
      <c r="H81" s="63"/>
      <c r="I81" s="63"/>
      <c r="J81" s="64">
        <f t="shared" si="26"/>
        <v>0</v>
      </c>
    </row>
    <row r="82" spans="2:10" ht="15.75" thickBot="1" x14ac:dyDescent="0.3">
      <c r="B82" s="9" t="s">
        <v>62</v>
      </c>
      <c r="C82" s="11"/>
      <c r="D82" s="11"/>
      <c r="E82" s="127"/>
      <c r="F82" s="27"/>
      <c r="G82" s="77">
        <f t="shared" si="25"/>
        <v>0</v>
      </c>
      <c r="H82" s="63"/>
      <c r="I82" s="63"/>
      <c r="J82" s="64">
        <f t="shared" si="26"/>
        <v>0</v>
      </c>
    </row>
    <row r="83" spans="2:10" ht="15.75" thickBot="1" x14ac:dyDescent="0.3">
      <c r="B83" s="9" t="s">
        <v>156</v>
      </c>
      <c r="C83" s="11"/>
      <c r="D83" s="11"/>
      <c r="E83" s="127"/>
      <c r="F83" s="27"/>
      <c r="G83" s="77">
        <f t="shared" si="25"/>
        <v>0</v>
      </c>
      <c r="H83" s="63"/>
      <c r="I83" s="63"/>
      <c r="J83" s="64">
        <f t="shared" si="26"/>
        <v>0</v>
      </c>
    </row>
    <row r="84" spans="2:10" ht="15.75" thickBot="1" x14ac:dyDescent="0.3">
      <c r="B84" s="9" t="s">
        <v>61</v>
      </c>
      <c r="C84" s="11"/>
      <c r="D84" s="11"/>
      <c r="E84" s="127"/>
      <c r="F84" s="27"/>
      <c r="G84" s="77">
        <f t="shared" si="25"/>
        <v>0</v>
      </c>
      <c r="H84" s="63"/>
      <c r="I84" s="63"/>
      <c r="J84" s="64">
        <f t="shared" si="26"/>
        <v>0</v>
      </c>
    </row>
    <row r="85" spans="2:10" ht="15.75" thickBot="1" x14ac:dyDescent="0.3">
      <c r="B85" s="9" t="s">
        <v>27</v>
      </c>
      <c r="C85" s="11"/>
      <c r="D85" s="11"/>
      <c r="E85" s="127"/>
      <c r="F85" s="27"/>
      <c r="G85" s="17">
        <f t="shared" si="25"/>
        <v>0</v>
      </c>
      <c r="H85" s="63"/>
      <c r="I85" s="63"/>
      <c r="J85" s="64">
        <f t="shared" si="26"/>
        <v>0</v>
      </c>
    </row>
    <row r="86" spans="2:10" ht="15.75" thickBot="1" x14ac:dyDescent="0.3">
      <c r="B86" s="9" t="s">
        <v>135</v>
      </c>
      <c r="C86" s="11"/>
      <c r="D86" s="11"/>
      <c r="E86" s="128"/>
      <c r="F86" s="27"/>
      <c r="G86" s="17">
        <f t="shared" si="25"/>
        <v>0</v>
      </c>
      <c r="H86" s="63"/>
      <c r="I86" s="63"/>
      <c r="J86" s="64">
        <f t="shared" si="26"/>
        <v>0</v>
      </c>
    </row>
    <row r="87" spans="2:10" ht="16.350000000000001" customHeight="1" thickBot="1" x14ac:dyDescent="0.3">
      <c r="B87" s="181" t="s">
        <v>43</v>
      </c>
      <c r="C87" s="139" t="s">
        <v>56</v>
      </c>
      <c r="D87" s="139"/>
      <c r="E87" s="139"/>
      <c r="F87" s="139"/>
      <c r="G87" s="40">
        <f>G62</f>
        <v>1469300</v>
      </c>
      <c r="H87" s="193">
        <f>SUM(G87:G90)</f>
        <v>1504036</v>
      </c>
      <c r="I87" s="195" t="s">
        <v>141</v>
      </c>
      <c r="J87" s="195"/>
    </row>
    <row r="88" spans="2:10" ht="41.1" customHeight="1" thickBot="1" x14ac:dyDescent="0.3">
      <c r="B88" s="192"/>
      <c r="C88" s="139" t="s">
        <v>104</v>
      </c>
      <c r="D88" s="139"/>
      <c r="E88" s="139"/>
      <c r="F88" s="152"/>
      <c r="G88" s="40">
        <f>G66</f>
        <v>9736</v>
      </c>
      <c r="H88" s="194"/>
      <c r="I88" s="196"/>
      <c r="J88" s="196"/>
    </row>
    <row r="89" spans="2:10" ht="16.350000000000001" customHeight="1" thickBot="1" x14ac:dyDescent="0.3">
      <c r="B89" s="192"/>
      <c r="C89" s="139" t="s">
        <v>55</v>
      </c>
      <c r="D89" s="139"/>
      <c r="E89" s="139"/>
      <c r="F89" s="152"/>
      <c r="G89" s="40">
        <f>G72</f>
        <v>25000</v>
      </c>
      <c r="H89" s="194"/>
      <c r="I89" s="197"/>
      <c r="J89" s="197"/>
    </row>
    <row r="90" spans="2:10" ht="19.350000000000001" customHeight="1" thickBot="1" x14ac:dyDescent="0.3">
      <c r="B90" s="169"/>
      <c r="C90" s="139" t="s">
        <v>60</v>
      </c>
      <c r="D90" s="139"/>
      <c r="E90" s="139"/>
      <c r="F90" s="139"/>
      <c r="G90" s="42">
        <f>G77</f>
        <v>0</v>
      </c>
      <c r="H90" s="194"/>
      <c r="I90" s="198">
        <f>G95</f>
        <v>-42410</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162</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F16+F17+F18+F19+F21+F28+F29+F37</f>
        <v>104754</v>
      </c>
      <c r="F95" s="19">
        <f>D95-E95</f>
        <v>-19754</v>
      </c>
      <c r="G95" s="140">
        <f>F95+F96+F99</f>
        <v>-42410</v>
      </c>
      <c r="H95" s="33"/>
      <c r="I95" s="33"/>
      <c r="J95" s="33"/>
    </row>
    <row r="96" spans="2:10" ht="16.350000000000001" customHeight="1" thickBot="1" x14ac:dyDescent="0.3">
      <c r="B96" s="22" t="s">
        <v>109</v>
      </c>
      <c r="C96" s="190" t="s">
        <v>9</v>
      </c>
      <c r="D96" s="68">
        <v>60000</v>
      </c>
      <c r="E96" s="190">
        <f>F9+F10+F12+F14+F22+F23+F24+F25+F27+F31+F33+F34+F36+F38+F39+F41+F42+F43+F44+F55+F56+F58+F59+F60+F61+F67+F76+F69</f>
        <v>560156</v>
      </c>
      <c r="F96" s="190">
        <f>D96+D97+D98-E96</f>
        <v>-23156</v>
      </c>
      <c r="G96" s="141"/>
      <c r="H96" s="33"/>
      <c r="I96" s="33"/>
      <c r="J96" s="33"/>
    </row>
    <row r="97" spans="2:10" ht="15.75" thickBot="1" x14ac:dyDescent="0.3">
      <c r="B97" s="22" t="s">
        <v>126</v>
      </c>
      <c r="C97" s="191"/>
      <c r="D97" s="68">
        <f>210000</f>
        <v>210000</v>
      </c>
      <c r="E97" s="191"/>
      <c r="F97" s="191"/>
      <c r="G97" s="141"/>
      <c r="H97" s="33"/>
      <c r="I97" s="33"/>
      <c r="J97" s="33"/>
    </row>
    <row r="98" spans="2:10" ht="15.75" thickBot="1" x14ac:dyDescent="0.3">
      <c r="B98" s="22" t="s">
        <v>125</v>
      </c>
      <c r="C98" s="191"/>
      <c r="D98" s="68">
        <f>267000</f>
        <v>267000</v>
      </c>
      <c r="E98" s="191"/>
      <c r="F98" s="191"/>
      <c r="G98" s="141"/>
      <c r="H98" s="33"/>
      <c r="I98" s="33"/>
      <c r="J98" s="33"/>
    </row>
    <row r="99" spans="2:10" ht="15.75" thickBot="1" x14ac:dyDescent="0.3">
      <c r="B99" s="22" t="s">
        <v>110</v>
      </c>
      <c r="C99" s="190" t="s">
        <v>19</v>
      </c>
      <c r="D99" s="11">
        <v>1500</v>
      </c>
      <c r="E99" s="190">
        <f>F53+F54</f>
        <v>5000</v>
      </c>
      <c r="F99" s="190">
        <f>D99+D100-E99</f>
        <v>500</v>
      </c>
      <c r="G99" s="141"/>
      <c r="H99" s="33"/>
      <c r="I99" s="33"/>
      <c r="J99" s="33"/>
    </row>
    <row r="100" spans="2:10" ht="15.75" thickBot="1" x14ac:dyDescent="0.3">
      <c r="B100" s="22" t="s">
        <v>31</v>
      </c>
      <c r="C100" s="191"/>
      <c r="D100" s="11">
        <v>4000</v>
      </c>
      <c r="E100" s="191"/>
      <c r="F100" s="191"/>
      <c r="G100" s="141"/>
      <c r="H100" s="33"/>
      <c r="I100" s="33"/>
      <c r="J100" s="33"/>
    </row>
    <row r="101" spans="2:10" ht="15.75" thickBot="1" x14ac:dyDescent="0.3">
      <c r="B101" s="189" t="s">
        <v>63</v>
      </c>
      <c r="C101" s="189"/>
      <c r="D101" s="85">
        <f>SUM(D95:D100)</f>
        <v>627500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5.75" thickBot="1" x14ac:dyDescent="0.3">
      <c r="B103" s="148" t="s">
        <v>111</v>
      </c>
      <c r="C103" s="148"/>
      <c r="D103" s="148"/>
      <c r="E103" s="57">
        <f>G8</f>
        <v>374826</v>
      </c>
      <c r="F103" s="133" t="s">
        <v>137</v>
      </c>
      <c r="G103" s="134"/>
      <c r="H103" s="134"/>
      <c r="I103" s="134"/>
      <c r="J103" s="134"/>
    </row>
    <row r="104" spans="2:10" ht="15.75" thickBot="1" x14ac:dyDescent="0.3">
      <c r="B104" s="148" t="s">
        <v>112</v>
      </c>
      <c r="C104" s="148"/>
      <c r="D104" s="148"/>
      <c r="E104" s="57">
        <f>G11</f>
        <v>96087</v>
      </c>
      <c r="F104" s="135"/>
      <c r="G104" s="136"/>
      <c r="H104" s="136"/>
      <c r="I104" s="136"/>
      <c r="J104" s="136"/>
    </row>
    <row r="105" spans="2:10" ht="15.75" thickBot="1" x14ac:dyDescent="0.3">
      <c r="B105" s="148" t="s">
        <v>113</v>
      </c>
      <c r="C105" s="148"/>
      <c r="D105" s="148"/>
      <c r="E105" s="57">
        <f>G15</f>
        <v>468115</v>
      </c>
      <c r="F105" s="135"/>
      <c r="G105" s="136"/>
      <c r="H105" s="136"/>
      <c r="I105" s="136"/>
      <c r="J105" s="136"/>
    </row>
    <row r="106" spans="2:10" ht="15.75" thickBot="1" x14ac:dyDescent="0.3">
      <c r="B106" s="148" t="s">
        <v>114</v>
      </c>
      <c r="C106" s="148"/>
      <c r="D106" s="148"/>
      <c r="E106" s="57">
        <f>G20</f>
        <v>136811</v>
      </c>
      <c r="F106" s="135"/>
      <c r="G106" s="136"/>
      <c r="H106" s="136"/>
      <c r="I106" s="136"/>
      <c r="J106" s="136"/>
    </row>
    <row r="107" spans="2:10" ht="15.75" thickBot="1" x14ac:dyDescent="0.3">
      <c r="B107" s="148" t="s">
        <v>115</v>
      </c>
      <c r="C107" s="148"/>
      <c r="D107" s="148"/>
      <c r="E107" s="57">
        <f>G26</f>
        <v>40660</v>
      </c>
      <c r="F107" s="137"/>
      <c r="G107" s="138"/>
      <c r="H107" s="138"/>
      <c r="I107" s="138"/>
      <c r="J107" s="138"/>
    </row>
    <row r="108" spans="2:10" ht="15.75" thickBot="1" x14ac:dyDescent="0.3">
      <c r="B108" s="148" t="s">
        <v>116</v>
      </c>
      <c r="C108" s="148"/>
      <c r="D108" s="148"/>
      <c r="E108" s="57">
        <f>G30</f>
        <v>179514</v>
      </c>
      <c r="F108" s="132" t="s">
        <v>163</v>
      </c>
      <c r="G108" s="132"/>
      <c r="H108" s="132"/>
      <c r="I108" s="132"/>
      <c r="J108" s="132"/>
    </row>
    <row r="109" spans="2:10" ht="15.75" thickBot="1" x14ac:dyDescent="0.3">
      <c r="B109" s="148" t="s">
        <v>117</v>
      </c>
      <c r="C109" s="148"/>
      <c r="D109" s="148"/>
      <c r="E109" s="57">
        <f>G35</f>
        <v>19790</v>
      </c>
      <c r="F109" s="151" t="s">
        <v>121</v>
      </c>
      <c r="G109" s="149"/>
      <c r="H109" s="149"/>
      <c r="I109" s="150">
        <f>E113</f>
        <v>1469300</v>
      </c>
      <c r="J109" s="150"/>
    </row>
    <row r="110" spans="2:10" ht="15.75" thickBot="1" x14ac:dyDescent="0.3">
      <c r="B110" s="148" t="s">
        <v>118</v>
      </c>
      <c r="C110" s="148"/>
      <c r="D110" s="148"/>
      <c r="E110" s="57">
        <f>G40</f>
        <v>121797</v>
      </c>
      <c r="F110" s="149" t="s">
        <v>122</v>
      </c>
      <c r="G110" s="149"/>
      <c r="H110" s="149"/>
      <c r="I110" s="150">
        <f>G66</f>
        <v>9736</v>
      </c>
      <c r="J110" s="150"/>
    </row>
    <row r="111" spans="2:10" ht="15.75" thickBot="1" x14ac:dyDescent="0.3">
      <c r="B111" s="148" t="s">
        <v>119</v>
      </c>
      <c r="C111" s="148"/>
      <c r="D111" s="148"/>
      <c r="E111" s="57">
        <f>G52</f>
        <v>21700</v>
      </c>
      <c r="F111" s="149" t="s">
        <v>123</v>
      </c>
      <c r="G111" s="149"/>
      <c r="H111" s="149"/>
      <c r="I111" s="150">
        <f>G72</f>
        <v>25000</v>
      </c>
      <c r="J111" s="150"/>
    </row>
    <row r="112" spans="2:10" ht="29.1" customHeight="1" thickBot="1" x14ac:dyDescent="0.3">
      <c r="B112" s="148" t="s">
        <v>120</v>
      </c>
      <c r="C112" s="148"/>
      <c r="D112" s="148"/>
      <c r="E112" s="57">
        <f>G57</f>
        <v>10000</v>
      </c>
      <c r="F112" s="149" t="s">
        <v>124</v>
      </c>
      <c r="G112" s="149"/>
      <c r="H112" s="149"/>
      <c r="I112" s="150">
        <f>G77</f>
        <v>0</v>
      </c>
      <c r="J112" s="150"/>
    </row>
    <row r="113" spans="2:10" ht="15.75" thickBot="1" x14ac:dyDescent="0.3">
      <c r="B113" s="142" t="s">
        <v>30</v>
      </c>
      <c r="C113" s="142"/>
      <c r="D113" s="142"/>
      <c r="E113" s="58">
        <f>SUM(E103:E112)</f>
        <v>1469300</v>
      </c>
      <c r="F113" s="143" t="s">
        <v>54</v>
      </c>
      <c r="G113" s="143"/>
      <c r="H113" s="143"/>
      <c r="I113" s="144">
        <f>SUM(I109:J112)</f>
        <v>1504036</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B1:J960"/>
  <sheetViews>
    <sheetView topLeftCell="A64" zoomScaleNormal="100" zoomScaleSheetLayoutView="158" workbookViewId="0">
      <selection activeCell="G70" sqref="G70"/>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4.710937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168</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39.75" customHeight="1" thickBot="1" x14ac:dyDescent="0.3">
      <c r="B8" s="8" t="s">
        <v>11</v>
      </c>
      <c r="C8" s="10">
        <f>SUM(C9:C10)</f>
        <v>148542</v>
      </c>
      <c r="D8" s="10">
        <f>SUM(D9:D10)</f>
        <v>36694</v>
      </c>
      <c r="E8" s="14" t="s">
        <v>167</v>
      </c>
      <c r="F8" s="26">
        <f>G8-C8-D8</f>
        <v>200133</v>
      </c>
      <c r="G8" s="56">
        <f t="shared" ref="G8:G19" si="0">H8+I8</f>
        <v>385369</v>
      </c>
      <c r="H8" s="10">
        <f>SUM(H9:H10)</f>
        <v>376934</v>
      </c>
      <c r="I8" s="10">
        <f t="shared" ref="I8:J8" si="1">SUM(I9:I10)</f>
        <v>8435</v>
      </c>
      <c r="J8" s="79">
        <f t="shared" si="1"/>
        <v>0</v>
      </c>
    </row>
    <row r="9" spans="2:10" ht="15.75" thickBot="1" x14ac:dyDescent="0.3">
      <c r="B9" s="9" t="s">
        <v>66</v>
      </c>
      <c r="C9" s="68">
        <f>147463-1+1080</f>
        <v>148542</v>
      </c>
      <c r="D9" s="68">
        <f>7000+1287+2500+3243+810+1508</f>
        <v>16348</v>
      </c>
      <c r="E9" s="15" t="s">
        <v>9</v>
      </c>
      <c r="F9" s="27">
        <f>G9-C9-D9</f>
        <v>141554</v>
      </c>
      <c r="G9" s="77">
        <f t="shared" si="0"/>
        <v>306444</v>
      </c>
      <c r="H9" s="68">
        <f>288448+3243+4000+236+74+500+1508</f>
        <v>298009</v>
      </c>
      <c r="I9" s="68">
        <v>8435</v>
      </c>
      <c r="J9" s="80"/>
    </row>
    <row r="10" spans="2:10" ht="15.75" thickBot="1" x14ac:dyDescent="0.3">
      <c r="B10" s="9" t="s">
        <v>67</v>
      </c>
      <c r="C10" s="11"/>
      <c r="D10" s="68">
        <f>2500+17689+157</f>
        <v>20346</v>
      </c>
      <c r="E10" s="15" t="s">
        <v>9</v>
      </c>
      <c r="F10" s="27">
        <f>G10-C10-D10</f>
        <v>58579</v>
      </c>
      <c r="G10" s="17">
        <f t="shared" si="0"/>
        <v>78925</v>
      </c>
      <c r="H10" s="68">
        <f>69682+9243</f>
        <v>78925</v>
      </c>
      <c r="I10" s="68"/>
      <c r="J10" s="80"/>
    </row>
    <row r="11" spans="2:10" ht="26.25" thickBot="1" x14ac:dyDescent="0.3">
      <c r="B11" s="8" t="s">
        <v>12</v>
      </c>
      <c r="C11" s="10">
        <f>SUM(C12:C14)</f>
        <v>17486</v>
      </c>
      <c r="D11" s="10">
        <f>SUM(D12:D14)</f>
        <v>58990</v>
      </c>
      <c r="E11" s="14" t="s">
        <v>9</v>
      </c>
      <c r="F11" s="26">
        <f>G11-C11-D11</f>
        <v>56902</v>
      </c>
      <c r="G11" s="56">
        <f t="shared" si="0"/>
        <v>133378</v>
      </c>
      <c r="H11" s="10">
        <f>SUM(H12:H14)</f>
        <v>133378</v>
      </c>
      <c r="I11" s="10">
        <f t="shared" ref="I11:J11" si="2">SUM(I12:I14)</f>
        <v>0</v>
      </c>
      <c r="J11" s="79">
        <f t="shared" si="2"/>
        <v>0</v>
      </c>
    </row>
    <row r="12" spans="2:10" ht="26.25" thickBot="1" x14ac:dyDescent="0.3">
      <c r="B12" s="9" t="s">
        <v>101</v>
      </c>
      <c r="C12" s="68">
        <f>16456+1030</f>
        <v>17486</v>
      </c>
      <c r="D12" s="68">
        <f>42</f>
        <v>42</v>
      </c>
      <c r="E12" s="15" t="s">
        <v>9</v>
      </c>
      <c r="F12" s="27">
        <f>G12-C12-D12-(D13-H13)</f>
        <v>12590</v>
      </c>
      <c r="G12" s="17">
        <f t="shared" si="0"/>
        <v>45446</v>
      </c>
      <c r="H12" s="11">
        <f>12983+(588+782+548+120)+(23242-675)+(4334-43)+2794+25+111+437+200</f>
        <v>45446</v>
      </c>
      <c r="I12" s="11"/>
      <c r="J12" s="80"/>
    </row>
    <row r="13" spans="2:10" ht="43.5" customHeight="1" thickBot="1" x14ac:dyDescent="0.3">
      <c r="B13" s="9" t="s">
        <v>102</v>
      </c>
      <c r="C13" s="11"/>
      <c r="D13" s="68">
        <f>18298+18569-700-896-86-6037+2407</f>
        <v>31555</v>
      </c>
      <c r="E13" s="186" t="s">
        <v>138</v>
      </c>
      <c r="F13" s="187"/>
      <c r="G13" s="17">
        <f t="shared" si="0"/>
        <v>16227</v>
      </c>
      <c r="H13" s="68">
        <f>6123+10104</f>
        <v>16227</v>
      </c>
      <c r="I13" s="11"/>
      <c r="J13" s="80"/>
    </row>
    <row r="14" spans="2:10" ht="26.25" thickBot="1" x14ac:dyDescent="0.3">
      <c r="B14" s="9" t="s">
        <v>166</v>
      </c>
      <c r="C14" s="11"/>
      <c r="D14" s="11">
        <v>27393</v>
      </c>
      <c r="E14" s="15" t="s">
        <v>9</v>
      </c>
      <c r="F14" s="27">
        <f>G14-C14-D14</f>
        <v>44312</v>
      </c>
      <c r="G14" s="17">
        <f t="shared" si="0"/>
        <v>71705</v>
      </c>
      <c r="H14" s="68">
        <f>40267+27393+4045</f>
        <v>71705</v>
      </c>
      <c r="I14" s="11"/>
      <c r="J14" s="80"/>
    </row>
    <row r="15" spans="2:10" ht="26.25" thickBot="1" x14ac:dyDescent="0.3">
      <c r="B15" s="8" t="s">
        <v>13</v>
      </c>
      <c r="C15" s="10">
        <f>SUM(C16:C19)</f>
        <v>409690</v>
      </c>
      <c r="D15" s="10">
        <f>SUM(D16:D19)</f>
        <v>51836</v>
      </c>
      <c r="E15" s="14" t="s">
        <v>35</v>
      </c>
      <c r="F15" s="26">
        <f>G15-C15-D15</f>
        <v>40375</v>
      </c>
      <c r="G15" s="56">
        <f t="shared" si="0"/>
        <v>501901</v>
      </c>
      <c r="H15" s="10">
        <f>SUM(H16:H19)</f>
        <v>490765</v>
      </c>
      <c r="I15" s="10">
        <f>SUM(I16:I19)</f>
        <v>11136</v>
      </c>
      <c r="J15" s="79">
        <f>SUM(J16:J19)</f>
        <v>54033</v>
      </c>
    </row>
    <row r="16" spans="2:10" ht="15.75" thickBot="1" x14ac:dyDescent="0.3">
      <c r="B16" s="9" t="s">
        <v>69</v>
      </c>
      <c r="C16" s="68">
        <f>306298</f>
        <v>306298</v>
      </c>
      <c r="D16" s="11">
        <f>4425+100+575+292</f>
        <v>5392</v>
      </c>
      <c r="E16" s="15" t="s">
        <v>10</v>
      </c>
      <c r="F16" s="27">
        <f>G16-C16-D16</f>
        <v>309</v>
      </c>
      <c r="G16" s="17">
        <f t="shared" si="0"/>
        <v>311999</v>
      </c>
      <c r="H16" s="68">
        <f>293266+2205+4525+575+292</f>
        <v>300863</v>
      </c>
      <c r="I16" s="68">
        <v>11136</v>
      </c>
      <c r="J16" s="80"/>
    </row>
    <row r="17" spans="2:10" ht="32.1" customHeight="1" thickBot="1" x14ac:dyDescent="0.3">
      <c r="B17" s="9" t="s">
        <v>70</v>
      </c>
      <c r="C17" s="68">
        <v>33770</v>
      </c>
      <c r="D17" s="68">
        <v>8916</v>
      </c>
      <c r="E17" s="15" t="s">
        <v>10</v>
      </c>
      <c r="F17" s="27">
        <f>G17-C17-D17</f>
        <v>13165</v>
      </c>
      <c r="G17" s="17">
        <f t="shared" si="0"/>
        <v>55851</v>
      </c>
      <c r="H17" s="68">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f>91729</f>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188225</v>
      </c>
      <c r="D30" s="10">
        <f>SUM(D31:D34)</f>
        <v>0</v>
      </c>
      <c r="E30" s="14" t="s">
        <v>9</v>
      </c>
      <c r="F30" s="26">
        <f>G30-C30-D30</f>
        <v>19069</v>
      </c>
      <c r="G30" s="56">
        <f>H30+I30</f>
        <v>207294</v>
      </c>
      <c r="H30" s="10">
        <f>SUM(H31:H34)</f>
        <v>207294</v>
      </c>
      <c r="I30" s="10">
        <f>SUM(I31:I34)</f>
        <v>0</v>
      </c>
      <c r="J30" s="79">
        <f>SUM(J31:J34)</f>
        <v>11490</v>
      </c>
    </row>
    <row r="31" spans="2:10" ht="26.25" thickBot="1" x14ac:dyDescent="0.3">
      <c r="B31" s="9" t="s">
        <v>133</v>
      </c>
      <c r="C31" s="155"/>
      <c r="D31" s="11"/>
      <c r="E31" s="15" t="s">
        <v>9</v>
      </c>
      <c r="F31" s="171">
        <f>(G31+G32)-C31</f>
        <v>4300</v>
      </c>
      <c r="G31" s="17">
        <f>H31+I31</f>
        <v>4300</v>
      </c>
      <c r="H31" s="68">
        <v>4300</v>
      </c>
      <c r="I31" s="11"/>
      <c r="J31" s="80"/>
    </row>
    <row r="32" spans="2:10" ht="39" thickBot="1" x14ac:dyDescent="0.3">
      <c r="B32" s="9" t="s">
        <v>79</v>
      </c>
      <c r="C32" s="156"/>
      <c r="D32" s="11"/>
      <c r="E32" s="15" t="s">
        <v>9</v>
      </c>
      <c r="F32" s="172"/>
      <c r="G32" s="17">
        <f t="shared" ref="G32" si="9">H32+I32</f>
        <v>0</v>
      </c>
      <c r="H32" s="87"/>
      <c r="I32" s="11"/>
      <c r="J32" s="80"/>
    </row>
    <row r="33" spans="2:10" ht="56.25" customHeight="1" thickBot="1" x14ac:dyDescent="0.3">
      <c r="B33" s="9" t="s">
        <v>128</v>
      </c>
      <c r="C33" s="68">
        <f>176151+12034</f>
        <v>188185</v>
      </c>
      <c r="D33" s="11"/>
      <c r="E33" s="15" t="s">
        <v>9</v>
      </c>
      <c r="F33" s="27">
        <f>G33-C33-D33</f>
        <v>14769</v>
      </c>
      <c r="G33" s="17">
        <f>H33+I33</f>
        <v>202954</v>
      </c>
      <c r="H33" s="68">
        <f>176151+14769+12034</f>
        <v>202954</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7368+968+994+47+899+117</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5">
        <v>13006</v>
      </c>
      <c r="D41" s="11"/>
      <c r="E41" s="15" t="s">
        <v>9</v>
      </c>
      <c r="F41" s="27">
        <f>G41-C41-D41</f>
        <v>62069</v>
      </c>
      <c r="G41" s="17">
        <f>H41+I41</f>
        <v>75075</v>
      </c>
      <c r="H41" s="68"/>
      <c r="I41" s="68">
        <f>69075+6000</f>
        <v>75075</v>
      </c>
      <c r="J41" s="81">
        <v>3684</v>
      </c>
    </row>
    <row r="42" spans="2:10" ht="15.75" thickBot="1" x14ac:dyDescent="0.3">
      <c r="B42" s="9" t="s">
        <v>85</v>
      </c>
      <c r="C42" s="157"/>
      <c r="D42" s="11"/>
      <c r="E42" s="15" t="s">
        <v>9</v>
      </c>
      <c r="F42" s="27">
        <f>G42-C42-D42</f>
        <v>12500</v>
      </c>
      <c r="G42" s="17">
        <f>H42+I42</f>
        <v>12500</v>
      </c>
      <c r="H42" s="68"/>
      <c r="I42" s="68">
        <f>12500</f>
        <v>12500</v>
      </c>
      <c r="J42" s="81"/>
    </row>
    <row r="43" spans="2:10" ht="26.25" thickBot="1" x14ac:dyDescent="0.3">
      <c r="B43" s="9" t="s">
        <v>86</v>
      </c>
      <c r="C43" s="157"/>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6"/>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168</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813625</v>
      </c>
      <c r="D62" s="21">
        <f>D57+D52+D40+D35+D30+D26+D20+D15+D11+D8</f>
        <v>164956</v>
      </c>
      <c r="E62" s="43"/>
      <c r="F62" s="31">
        <f t="shared" si="22"/>
        <v>624340</v>
      </c>
      <c r="G62" s="44">
        <f>G57+G52+G40+G35+G30+G26+G20+G15+G11+G8</f>
        <v>1602921</v>
      </c>
      <c r="H62" s="21">
        <f>H57+H52+H40+H35+H30+H26+H20+H15+H11+H8</f>
        <v>1290478</v>
      </c>
      <c r="I62" s="45">
        <f>I57+I52+I40+I35+I30+I26+I20+I15+I11+I8</f>
        <v>312443</v>
      </c>
      <c r="J62" s="46">
        <f>J57+J52+J40+J35+J30+J26+J20+J15+J11+J8</f>
        <v>236909</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657153</v>
      </c>
      <c r="D66" s="10">
        <f>SUM(D67:D70)</f>
        <v>42146</v>
      </c>
      <c r="E66" s="14"/>
      <c r="F66" s="10">
        <f>SUM(F67:F70)</f>
        <v>3160</v>
      </c>
      <c r="G66" s="86">
        <f>SUM(G67:G70)</f>
        <v>381332</v>
      </c>
      <c r="H66" s="162"/>
      <c r="I66" s="163"/>
      <c r="J66" s="163"/>
    </row>
    <row r="67" spans="2:10" ht="48.75" customHeight="1" thickBot="1" x14ac:dyDescent="0.3">
      <c r="B67" s="9" t="s">
        <v>95</v>
      </c>
      <c r="C67" s="11">
        <v>6462</v>
      </c>
      <c r="D67" s="11"/>
      <c r="E67" s="66" t="s">
        <v>50</v>
      </c>
      <c r="F67" s="27">
        <f>10000-390-1980-437-200-350</f>
        <v>6643</v>
      </c>
      <c r="G67" s="77">
        <f>C67+D67+F67</f>
        <v>13105</v>
      </c>
      <c r="H67" s="162"/>
      <c r="I67" s="163"/>
      <c r="J67" s="163"/>
    </row>
    <row r="68" spans="2:10" ht="53.25" customHeight="1" thickBot="1" x14ac:dyDescent="0.3">
      <c r="B68" s="9" t="s">
        <v>96</v>
      </c>
      <c r="C68" s="11">
        <f>54949</f>
        <v>54949</v>
      </c>
      <c r="D68" s="68">
        <f>315+22358+86+6037</f>
        <v>28796</v>
      </c>
      <c r="E68" s="66" t="s">
        <v>47</v>
      </c>
      <c r="F68" s="27"/>
      <c r="G68" s="77">
        <f>C68+D68+F68-F75</f>
        <v>76686</v>
      </c>
      <c r="H68" s="162"/>
      <c r="I68" s="163"/>
      <c r="J68" s="163"/>
    </row>
    <row r="69" spans="2:10" ht="51.75" customHeight="1" thickBot="1" x14ac:dyDescent="0.3">
      <c r="B69" s="9" t="s">
        <v>97</v>
      </c>
      <c r="C69" s="11">
        <f>10000-648</f>
        <v>9352</v>
      </c>
      <c r="D69" s="11"/>
      <c r="E69" s="66" t="s">
        <v>150</v>
      </c>
      <c r="F69" s="27"/>
      <c r="G69" s="77">
        <f>C69+D69+F69</f>
        <v>9352</v>
      </c>
      <c r="H69" s="164"/>
      <c r="I69" s="165"/>
      <c r="J69" s="165"/>
    </row>
    <row r="70" spans="2:10" ht="49.5" customHeight="1" thickBot="1" x14ac:dyDescent="0.3">
      <c r="B70" s="9" t="s">
        <v>107</v>
      </c>
      <c r="C70" s="11">
        <f>9464+25+47+116+174+111+250000+12000+1750+6627+4470+6433+1143+2601+1000+153+4972+285092+212</f>
        <v>586390</v>
      </c>
      <c r="D70" s="68">
        <f>13350</f>
        <v>13350</v>
      </c>
      <c r="E70" s="66" t="s">
        <v>148</v>
      </c>
      <c r="F70" s="83">
        <f>G95</f>
        <v>-3483</v>
      </c>
      <c r="G70" s="77">
        <f>C70+D70+F70-F73-F74-F78-F79-F80-F81-F82-F83-F84-F85-F86</f>
        <v>282189</v>
      </c>
      <c r="H70" s="173" t="s">
        <v>149</v>
      </c>
      <c r="I70" s="174"/>
      <c r="J70" s="174"/>
    </row>
    <row r="71" spans="2:10" ht="51.7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0</v>
      </c>
      <c r="E72" s="14"/>
      <c r="F72" s="26">
        <f>SUM(F73:F76)</f>
        <v>332974</v>
      </c>
      <c r="G72" s="56">
        <f>SUM(C72+D72+F72)</f>
        <v>332974</v>
      </c>
      <c r="H72" s="158" t="s">
        <v>131</v>
      </c>
      <c r="I72" s="159"/>
      <c r="J72" s="159"/>
    </row>
    <row r="73" spans="2:10" ht="27" customHeight="1" thickBot="1" x14ac:dyDescent="0.3">
      <c r="B73" s="9" t="s">
        <v>98</v>
      </c>
      <c r="C73" s="11"/>
      <c r="D73" s="11"/>
      <c r="E73" s="66" t="s">
        <v>51</v>
      </c>
      <c r="F73" s="69">
        <f>250000+12000+1750+6627+4470+6433+1143+2601+1000+8000+313+172+114+129+500+914+1905+110+407+1536+400+300+91-20000</f>
        <v>280915</v>
      </c>
      <c r="G73" s="17">
        <f t="shared" ref="G73:G75" si="24">SUM(C73+D73+F73)</f>
        <v>280915</v>
      </c>
      <c r="H73" s="129" t="s">
        <v>53</v>
      </c>
      <c r="I73" s="129" t="s">
        <v>64</v>
      </c>
      <c r="J73" s="129" t="s">
        <v>132</v>
      </c>
    </row>
    <row r="74" spans="2:10" ht="26.25" thickBot="1" x14ac:dyDescent="0.3">
      <c r="B74" s="9" t="s">
        <v>106</v>
      </c>
      <c r="C74" s="11"/>
      <c r="D74" s="11"/>
      <c r="E74" s="66" t="s">
        <v>51</v>
      </c>
      <c r="F74" s="69">
        <v>20000</v>
      </c>
      <c r="G74" s="77">
        <f t="shared" si="24"/>
        <v>20000</v>
      </c>
      <c r="H74" s="130"/>
      <c r="I74" s="130"/>
      <c r="J74" s="130"/>
    </row>
    <row r="75" spans="2:10" ht="38.25" customHeight="1" thickBot="1" x14ac:dyDescent="0.3">
      <c r="B75" s="9" t="s">
        <v>99</v>
      </c>
      <c r="C75" s="11"/>
      <c r="D75" s="11"/>
      <c r="E75" s="66" t="s">
        <v>152</v>
      </c>
      <c r="F75" s="69">
        <f>328+5992+739</f>
        <v>7059</v>
      </c>
      <c r="G75" s="77">
        <f t="shared" si="24"/>
        <v>7059</v>
      </c>
      <c r="H75" s="130"/>
      <c r="I75" s="130"/>
      <c r="J75" s="130"/>
    </row>
    <row r="76" spans="2:10" ht="26.25" thickBot="1" x14ac:dyDescent="0.3">
      <c r="B76" s="9" t="s">
        <v>100</v>
      </c>
      <c r="C76" s="11"/>
      <c r="D76" s="11"/>
      <c r="E76" s="94" t="s">
        <v>51</v>
      </c>
      <c r="F76" s="83">
        <v>25000</v>
      </c>
      <c r="G76" s="77">
        <f>SUM(C76+D76+F76)</f>
        <v>25000</v>
      </c>
      <c r="H76" s="131"/>
      <c r="I76" s="131"/>
      <c r="J76" s="131"/>
    </row>
    <row r="77" spans="2:10" ht="26.25" thickBot="1" x14ac:dyDescent="0.3">
      <c r="B77" s="8" t="s">
        <v>57</v>
      </c>
      <c r="C77" s="10">
        <f>SUM(C79:C86)</f>
        <v>0</v>
      </c>
      <c r="D77" s="10">
        <f>SUM(D79:D86)</f>
        <v>1520157</v>
      </c>
      <c r="E77" s="14"/>
      <c r="F77" s="10">
        <f>SUM(F78:F86)</f>
        <v>13153</v>
      </c>
      <c r="G77" s="56">
        <f>SUM(C77+D77+F77)</f>
        <v>1533310</v>
      </c>
      <c r="H77" s="62">
        <f>SUM(H79:H86)</f>
        <v>3390660</v>
      </c>
      <c r="I77" s="65">
        <f>SUM(I79:I86)</f>
        <v>417496</v>
      </c>
      <c r="J77" s="65">
        <f>SUM(J79:J86)</f>
        <v>5328711</v>
      </c>
    </row>
    <row r="78" spans="2:10" ht="46.35" customHeight="1" thickBot="1" x14ac:dyDescent="0.3">
      <c r="B78" s="9" t="s">
        <v>52</v>
      </c>
      <c r="C78" s="11"/>
      <c r="D78" s="11"/>
      <c r="E78" s="126" t="s">
        <v>151</v>
      </c>
      <c r="F78" s="27">
        <f>12474+281</f>
        <v>12755</v>
      </c>
      <c r="G78" s="17">
        <f t="shared" ref="G78:G86" si="25">C78+D78+F78</f>
        <v>12755</v>
      </c>
      <c r="H78" s="63"/>
      <c r="I78" s="63"/>
      <c r="J78" s="64">
        <f>SUM(G78:I78)</f>
        <v>12755</v>
      </c>
    </row>
    <row r="79" spans="2:10" ht="15" customHeight="1" thickBot="1" x14ac:dyDescent="0.3">
      <c r="B79" s="9" t="s">
        <v>157</v>
      </c>
      <c r="C79" s="11"/>
      <c r="D79" s="11"/>
      <c r="E79" s="127"/>
      <c r="F79" s="27"/>
      <c r="G79" s="17">
        <f t="shared" si="25"/>
        <v>0</v>
      </c>
      <c r="H79" s="63"/>
      <c r="I79" s="63"/>
      <c r="J79" s="64">
        <f>SUM(G79:I79)</f>
        <v>0</v>
      </c>
    </row>
    <row r="80" spans="2:10" ht="15.75" thickBot="1" x14ac:dyDescent="0.3">
      <c r="B80" s="9" t="s">
        <v>26</v>
      </c>
      <c r="C80" s="68"/>
      <c r="D80" s="11">
        <f>43295</f>
        <v>43295</v>
      </c>
      <c r="E80" s="127"/>
      <c r="F80" s="27">
        <f>210</f>
        <v>210</v>
      </c>
      <c r="G80" s="77">
        <f t="shared" si="25"/>
        <v>43505</v>
      </c>
      <c r="H80" s="63"/>
      <c r="I80" s="63">
        <f>206705</f>
        <v>206705</v>
      </c>
      <c r="J80" s="64">
        <f t="shared" ref="J80:J86" si="26">SUM(G80:I80)</f>
        <v>250210</v>
      </c>
    </row>
    <row r="81" spans="2:10" ht="15.75" thickBot="1" x14ac:dyDescent="0.3">
      <c r="B81" s="9" t="s">
        <v>25</v>
      </c>
      <c r="C81" s="68"/>
      <c r="D81" s="11">
        <v>14074</v>
      </c>
      <c r="E81" s="127"/>
      <c r="F81" s="27"/>
      <c r="G81" s="77">
        <f t="shared" si="25"/>
        <v>14074</v>
      </c>
      <c r="H81" s="63">
        <v>789765</v>
      </c>
      <c r="I81" s="63">
        <v>35961</v>
      </c>
      <c r="J81" s="64">
        <f t="shared" si="26"/>
        <v>839800</v>
      </c>
    </row>
    <row r="82" spans="2:10" ht="15.75" thickBot="1" x14ac:dyDescent="0.3">
      <c r="B82" s="9" t="s">
        <v>62</v>
      </c>
      <c r="C82" s="11"/>
      <c r="D82" s="11"/>
      <c r="E82" s="127"/>
      <c r="F82" s="27"/>
      <c r="G82" s="77">
        <f t="shared" si="25"/>
        <v>0</v>
      </c>
      <c r="H82" s="63"/>
      <c r="I82" s="63"/>
      <c r="J82" s="64">
        <f t="shared" si="26"/>
        <v>0</v>
      </c>
    </row>
    <row r="83" spans="2:10" ht="26.25" thickBot="1" x14ac:dyDescent="0.3">
      <c r="B83" s="9" t="s">
        <v>165</v>
      </c>
      <c r="C83" s="11"/>
      <c r="D83" s="11">
        <v>78662</v>
      </c>
      <c r="E83" s="127"/>
      <c r="F83" s="27"/>
      <c r="G83" s="77">
        <f t="shared" si="25"/>
        <v>78662</v>
      </c>
      <c r="H83" s="63"/>
      <c r="I83" s="63"/>
      <c r="J83" s="64">
        <f t="shared" si="26"/>
        <v>78662</v>
      </c>
    </row>
    <row r="84" spans="2:10" ht="15.75" thickBot="1" x14ac:dyDescent="0.3">
      <c r="B84" s="9" t="s">
        <v>61</v>
      </c>
      <c r="C84" s="11"/>
      <c r="D84" s="11"/>
      <c r="E84" s="127"/>
      <c r="F84" s="27"/>
      <c r="G84" s="77">
        <f t="shared" si="25"/>
        <v>0</v>
      </c>
      <c r="H84" s="63"/>
      <c r="I84" s="63"/>
      <c r="J84" s="64">
        <f t="shared" si="26"/>
        <v>0</v>
      </c>
    </row>
    <row r="85" spans="2:10" ht="15.75" thickBot="1" x14ac:dyDescent="0.3">
      <c r="B85" s="9" t="s">
        <v>27</v>
      </c>
      <c r="C85" s="11"/>
      <c r="D85" s="11">
        <f>1383938+188</f>
        <v>1384126</v>
      </c>
      <c r="E85" s="127"/>
      <c r="F85" s="27">
        <v>188</v>
      </c>
      <c r="G85" s="17">
        <f t="shared" si="25"/>
        <v>1384314</v>
      </c>
      <c r="H85" s="63">
        <v>2600895</v>
      </c>
      <c r="I85" s="63">
        <v>174830</v>
      </c>
      <c r="J85" s="64">
        <f t="shared" si="26"/>
        <v>4160039</v>
      </c>
    </row>
    <row r="86" spans="2:10" ht="15.75" thickBot="1" x14ac:dyDescent="0.3">
      <c r="B86" s="9" t="s">
        <v>135</v>
      </c>
      <c r="C86" s="11"/>
      <c r="D86" s="11"/>
      <c r="E86" s="128"/>
      <c r="F86" s="27"/>
      <c r="G86" s="17">
        <f t="shared" si="25"/>
        <v>0</v>
      </c>
      <c r="H86" s="63"/>
      <c r="I86" s="63"/>
      <c r="J86" s="64">
        <f t="shared" si="26"/>
        <v>0</v>
      </c>
    </row>
    <row r="87" spans="2:10" ht="30.75" customHeight="1" thickBot="1" x14ac:dyDescent="0.3">
      <c r="B87" s="181" t="s">
        <v>43</v>
      </c>
      <c r="C87" s="139" t="s">
        <v>56</v>
      </c>
      <c r="D87" s="139"/>
      <c r="E87" s="139"/>
      <c r="F87" s="139"/>
      <c r="G87" s="40">
        <f>G62</f>
        <v>1602921</v>
      </c>
      <c r="H87" s="193">
        <f>SUM(G87:G90)</f>
        <v>3850537</v>
      </c>
      <c r="I87" s="195" t="s">
        <v>141</v>
      </c>
      <c r="J87" s="195"/>
    </row>
    <row r="88" spans="2:10" ht="42.75" customHeight="1" thickBot="1" x14ac:dyDescent="0.3">
      <c r="B88" s="192"/>
      <c r="C88" s="139" t="s">
        <v>104</v>
      </c>
      <c r="D88" s="139"/>
      <c r="E88" s="139"/>
      <c r="F88" s="152"/>
      <c r="G88" s="40">
        <f>G66</f>
        <v>381332</v>
      </c>
      <c r="H88" s="194"/>
      <c r="I88" s="196"/>
      <c r="J88" s="196"/>
    </row>
    <row r="89" spans="2:10" ht="30" customHeight="1" thickBot="1" x14ac:dyDescent="0.3">
      <c r="B89" s="192"/>
      <c r="C89" s="139" t="s">
        <v>55</v>
      </c>
      <c r="D89" s="139"/>
      <c r="E89" s="139"/>
      <c r="F89" s="152"/>
      <c r="G89" s="40">
        <f>G72</f>
        <v>332974</v>
      </c>
      <c r="H89" s="194"/>
      <c r="I89" s="197"/>
      <c r="J89" s="197"/>
    </row>
    <row r="90" spans="2:10" ht="19.350000000000001" customHeight="1" thickBot="1" x14ac:dyDescent="0.3">
      <c r="B90" s="169"/>
      <c r="C90" s="139" t="s">
        <v>60</v>
      </c>
      <c r="D90" s="139"/>
      <c r="E90" s="139"/>
      <c r="F90" s="139"/>
      <c r="G90" s="42">
        <f>G77</f>
        <v>1533310</v>
      </c>
      <c r="H90" s="194"/>
      <c r="I90" s="198">
        <f>G95</f>
        <v>-3483</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168</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93252</v>
      </c>
      <c r="F95" s="19">
        <f>D95-E95</f>
        <v>-8252</v>
      </c>
      <c r="G95" s="140">
        <f>F95+F96+F99</f>
        <v>-3483</v>
      </c>
      <c r="H95" s="33"/>
      <c r="I95" s="33"/>
      <c r="J95" s="33"/>
    </row>
    <row r="96" spans="2:10" ht="16.350000000000001" customHeight="1" thickBot="1" x14ac:dyDescent="0.3">
      <c r="B96" s="22" t="s">
        <v>109</v>
      </c>
      <c r="C96" s="190" t="s">
        <v>170</v>
      </c>
      <c r="D96" s="68">
        <v>60000</v>
      </c>
      <c r="E96" s="190">
        <f>F9+F10+F12+F14+F23+F24+F25+F27+F31+F33+F34+F41+F42+F43+F44+F53+F54+F55+F56+F58+F59+F60+F61+F67+F69</f>
        <v>537731</v>
      </c>
      <c r="F96" s="190">
        <f>D96+D97+D98+D99+D100-E96</f>
        <v>4769</v>
      </c>
      <c r="G96" s="141"/>
      <c r="H96" s="33"/>
      <c r="I96" s="33"/>
      <c r="J96" s="33"/>
    </row>
    <row r="97" spans="2:10" ht="15.75" thickBot="1" x14ac:dyDescent="0.3">
      <c r="B97" s="22" t="s">
        <v>126</v>
      </c>
      <c r="C97" s="191"/>
      <c r="D97" s="68">
        <f>210000</f>
        <v>210000</v>
      </c>
      <c r="E97" s="191"/>
      <c r="F97" s="191"/>
      <c r="G97" s="141"/>
      <c r="H97" s="33"/>
      <c r="I97" s="33"/>
      <c r="J97" s="33"/>
    </row>
    <row r="98" spans="2:10" ht="15.75" thickBot="1" x14ac:dyDescent="0.3">
      <c r="B98" s="22" t="s">
        <v>125</v>
      </c>
      <c r="C98" s="191"/>
      <c r="D98" s="68">
        <f>267000</f>
        <v>267000</v>
      </c>
      <c r="E98" s="191"/>
      <c r="F98" s="191"/>
      <c r="G98" s="141"/>
      <c r="H98" s="33"/>
      <c r="I98" s="33"/>
      <c r="J98" s="33"/>
    </row>
    <row r="99" spans="2:10" ht="15.75" thickBot="1" x14ac:dyDescent="0.3">
      <c r="B99" s="22" t="s">
        <v>110</v>
      </c>
      <c r="C99" s="190" t="s">
        <v>19</v>
      </c>
      <c r="D99" s="11">
        <v>1500</v>
      </c>
      <c r="E99" s="191"/>
      <c r="F99" s="191"/>
      <c r="G99" s="141"/>
      <c r="H99" s="33"/>
      <c r="I99" s="33"/>
      <c r="J99" s="33"/>
    </row>
    <row r="100" spans="2:10" ht="15.75" thickBot="1" x14ac:dyDescent="0.3">
      <c r="B100" s="22" t="s">
        <v>31</v>
      </c>
      <c r="C100" s="191"/>
      <c r="D100" s="11">
        <v>4000</v>
      </c>
      <c r="E100" s="205"/>
      <c r="F100" s="205"/>
      <c r="G100" s="141"/>
      <c r="H100" s="33"/>
      <c r="I100" s="33"/>
      <c r="J100" s="33"/>
    </row>
    <row r="101" spans="2:10" ht="33.75" customHeight="1" thickBot="1" x14ac:dyDescent="0.3">
      <c r="B101" s="189" t="s">
        <v>63</v>
      </c>
      <c r="C101" s="189"/>
      <c r="D101" s="85">
        <f>SUM(D95:D100)</f>
        <v>627500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8" customHeight="1" thickBot="1" x14ac:dyDescent="0.3">
      <c r="B103" s="148" t="s">
        <v>111</v>
      </c>
      <c r="C103" s="148"/>
      <c r="D103" s="148"/>
      <c r="E103" s="57">
        <f>G8</f>
        <v>385369</v>
      </c>
      <c r="F103" s="199" t="s">
        <v>171</v>
      </c>
      <c r="G103" s="200"/>
      <c r="H103" s="200"/>
      <c r="I103" s="200"/>
      <c r="J103" s="200"/>
    </row>
    <row r="104" spans="2:10" ht="19.5" customHeight="1" thickBot="1" x14ac:dyDescent="0.3">
      <c r="B104" s="148" t="s">
        <v>112</v>
      </c>
      <c r="C104" s="148"/>
      <c r="D104" s="148"/>
      <c r="E104" s="57">
        <f>G11</f>
        <v>133378</v>
      </c>
      <c r="F104" s="201"/>
      <c r="G104" s="202"/>
      <c r="H104" s="202"/>
      <c r="I104" s="202"/>
      <c r="J104" s="202"/>
    </row>
    <row r="105" spans="2:10" ht="18.75" customHeight="1" thickBot="1" x14ac:dyDescent="0.3">
      <c r="B105" s="148" t="s">
        <v>113</v>
      </c>
      <c r="C105" s="148"/>
      <c r="D105" s="148"/>
      <c r="E105" s="57">
        <f>G15</f>
        <v>501901</v>
      </c>
      <c r="F105" s="201"/>
      <c r="G105" s="202"/>
      <c r="H105" s="202"/>
      <c r="I105" s="202"/>
      <c r="J105" s="202"/>
    </row>
    <row r="106" spans="2:10" ht="30" customHeight="1" thickBot="1" x14ac:dyDescent="0.3">
      <c r="B106" s="148" t="s">
        <v>114</v>
      </c>
      <c r="C106" s="148"/>
      <c r="D106" s="148"/>
      <c r="E106" s="57">
        <f>G20</f>
        <v>143087</v>
      </c>
      <c r="F106" s="201"/>
      <c r="G106" s="202"/>
      <c r="H106" s="202"/>
      <c r="I106" s="202"/>
      <c r="J106" s="202"/>
    </row>
    <row r="107" spans="2:10" ht="19.5" customHeight="1" thickBot="1" x14ac:dyDescent="0.3">
      <c r="B107" s="148" t="s">
        <v>115</v>
      </c>
      <c r="C107" s="148"/>
      <c r="D107" s="148"/>
      <c r="E107" s="57">
        <f>G26</f>
        <v>42616</v>
      </c>
      <c r="F107" s="203"/>
      <c r="G107" s="204"/>
      <c r="H107" s="204"/>
      <c r="I107" s="204"/>
      <c r="J107" s="204"/>
    </row>
    <row r="108" spans="2:10" ht="18" customHeight="1" thickBot="1" x14ac:dyDescent="0.3">
      <c r="B108" s="148" t="s">
        <v>116</v>
      </c>
      <c r="C108" s="148"/>
      <c r="D108" s="148"/>
      <c r="E108" s="57">
        <f>G30</f>
        <v>207294</v>
      </c>
      <c r="F108" s="132" t="s">
        <v>169</v>
      </c>
      <c r="G108" s="132"/>
      <c r="H108" s="132"/>
      <c r="I108" s="132"/>
      <c r="J108" s="132"/>
    </row>
    <row r="109" spans="2:10" ht="31.5" customHeight="1" thickBot="1" x14ac:dyDescent="0.3">
      <c r="B109" s="148" t="s">
        <v>117</v>
      </c>
      <c r="C109" s="148"/>
      <c r="D109" s="148"/>
      <c r="E109" s="57">
        <f>G35</f>
        <v>31548</v>
      </c>
      <c r="F109" s="151" t="s">
        <v>121</v>
      </c>
      <c r="G109" s="149"/>
      <c r="H109" s="149"/>
      <c r="I109" s="150">
        <f>E113</f>
        <v>1602921</v>
      </c>
      <c r="J109" s="150"/>
    </row>
    <row r="110" spans="2:10" ht="21" customHeight="1" thickBot="1" x14ac:dyDescent="0.3">
      <c r="B110" s="148" t="s">
        <v>118</v>
      </c>
      <c r="C110" s="148"/>
      <c r="D110" s="148"/>
      <c r="E110" s="57">
        <f>G40</f>
        <v>119048</v>
      </c>
      <c r="F110" s="149" t="s">
        <v>122</v>
      </c>
      <c r="G110" s="149"/>
      <c r="H110" s="149"/>
      <c r="I110" s="150">
        <f>G66</f>
        <v>381332</v>
      </c>
      <c r="J110" s="150"/>
    </row>
    <row r="111" spans="2:10" ht="30" customHeight="1" thickBot="1" x14ac:dyDescent="0.3">
      <c r="B111" s="148" t="s">
        <v>119</v>
      </c>
      <c r="C111" s="148"/>
      <c r="D111" s="148"/>
      <c r="E111" s="57">
        <f>G52</f>
        <v>28680</v>
      </c>
      <c r="F111" s="149" t="s">
        <v>123</v>
      </c>
      <c r="G111" s="149"/>
      <c r="H111" s="149"/>
      <c r="I111" s="150">
        <f>G72</f>
        <v>332974</v>
      </c>
      <c r="J111" s="150"/>
    </row>
    <row r="112" spans="2:10" ht="31.5" customHeight="1" thickBot="1" x14ac:dyDescent="0.3">
      <c r="B112" s="148" t="s">
        <v>120</v>
      </c>
      <c r="C112" s="148"/>
      <c r="D112" s="148"/>
      <c r="E112" s="57">
        <f>G57</f>
        <v>10000</v>
      </c>
      <c r="F112" s="149" t="s">
        <v>124</v>
      </c>
      <c r="G112" s="149"/>
      <c r="H112" s="149"/>
      <c r="I112" s="150">
        <f>G77</f>
        <v>1533310</v>
      </c>
      <c r="J112" s="150"/>
    </row>
    <row r="113" spans="2:10" ht="23.25" customHeight="1" thickBot="1" x14ac:dyDescent="0.3">
      <c r="B113" s="142" t="s">
        <v>30</v>
      </c>
      <c r="C113" s="142"/>
      <c r="D113" s="142"/>
      <c r="E113" s="58">
        <f>SUM(E103:E112)</f>
        <v>1602921</v>
      </c>
      <c r="F113" s="143" t="s">
        <v>54</v>
      </c>
      <c r="G113" s="143"/>
      <c r="H113" s="143"/>
      <c r="I113" s="144">
        <f>SUM(I109:J112)</f>
        <v>3850537</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960"/>
  <sheetViews>
    <sheetView topLeftCell="A64"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8" t="s">
        <v>147</v>
      </c>
      <c r="C2" s="188"/>
      <c r="D2" s="188"/>
      <c r="E2" s="188"/>
      <c r="F2" s="188"/>
      <c r="G2" s="188"/>
      <c r="H2" s="188"/>
      <c r="I2" s="188"/>
      <c r="J2" s="188"/>
    </row>
    <row r="3" spans="2:10" ht="18.75" thickBot="1" x14ac:dyDescent="0.3">
      <c r="B3" s="177" t="s">
        <v>168</v>
      </c>
      <c r="C3" s="177"/>
      <c r="D3" s="177"/>
      <c r="E3" s="177"/>
      <c r="F3" s="177"/>
      <c r="G3" s="177"/>
      <c r="H3" s="177"/>
      <c r="I3" s="177"/>
      <c r="J3" s="177"/>
    </row>
    <row r="4" spans="2:10" x14ac:dyDescent="0.25">
      <c r="B4" s="178" t="s">
        <v>153</v>
      </c>
      <c r="C4" s="181" t="s">
        <v>24</v>
      </c>
      <c r="D4" s="181"/>
      <c r="E4" s="181"/>
      <c r="F4" s="181"/>
      <c r="G4" s="181"/>
      <c r="H4" s="181"/>
      <c r="I4" s="181"/>
      <c r="J4" s="24"/>
    </row>
    <row r="5" spans="2:10" x14ac:dyDescent="0.25">
      <c r="B5" s="179"/>
      <c r="C5" s="182"/>
      <c r="D5" s="182"/>
      <c r="E5" s="182"/>
      <c r="F5" s="182"/>
      <c r="G5" s="182"/>
      <c r="H5" s="182"/>
      <c r="I5" s="183" t="s">
        <v>5</v>
      </c>
      <c r="J5" s="183"/>
    </row>
    <row r="6" spans="2:10" ht="15.75" thickBot="1" x14ac:dyDescent="0.3">
      <c r="B6" s="180"/>
      <c r="C6" s="169" t="s">
        <v>7</v>
      </c>
      <c r="D6" s="169"/>
      <c r="E6" s="169"/>
      <c r="F6" s="169"/>
      <c r="G6" s="170" t="s">
        <v>8</v>
      </c>
      <c r="H6" s="170"/>
      <c r="I6" s="170"/>
      <c r="J6" s="25"/>
    </row>
    <row r="7" spans="2:10" ht="45.75" thickBot="1" x14ac:dyDescent="0.3">
      <c r="B7" s="7" t="s">
        <v>2</v>
      </c>
      <c r="C7" s="34" t="s">
        <v>3</v>
      </c>
      <c r="D7" s="34" t="s">
        <v>21</v>
      </c>
      <c r="E7" s="35" t="s">
        <v>22</v>
      </c>
      <c r="F7" s="36" t="s">
        <v>29</v>
      </c>
      <c r="G7" s="18" t="s">
        <v>23</v>
      </c>
      <c r="H7" s="37" t="s">
        <v>4</v>
      </c>
      <c r="I7" s="37" t="s">
        <v>6</v>
      </c>
      <c r="J7" s="78" t="s">
        <v>134</v>
      </c>
    </row>
    <row r="8" spans="2:10" ht="39.75" customHeight="1" thickBot="1" x14ac:dyDescent="0.3">
      <c r="B8" s="8" t="s">
        <v>11</v>
      </c>
      <c r="C8" s="10">
        <f>SUM(C9:C10)</f>
        <v>148542</v>
      </c>
      <c r="D8" s="10">
        <f>SUM(D9:D10)</f>
        <v>34376</v>
      </c>
      <c r="E8" s="14" t="s">
        <v>167</v>
      </c>
      <c r="F8" s="26">
        <f>G8-C8-D8</f>
        <v>200133</v>
      </c>
      <c r="G8" s="56">
        <f t="shared" ref="G8:G19" si="0">H8+I8</f>
        <v>383051</v>
      </c>
      <c r="H8" s="10">
        <f>SUM(H9:H10)</f>
        <v>374616</v>
      </c>
      <c r="I8" s="10">
        <f t="shared" ref="I8:J8" si="1">SUM(I9:I10)</f>
        <v>8435</v>
      </c>
      <c r="J8" s="79">
        <f t="shared" si="1"/>
        <v>0</v>
      </c>
    </row>
    <row r="9" spans="2:10" ht="15.75" thickBot="1" x14ac:dyDescent="0.3">
      <c r="B9" s="9" t="s">
        <v>66</v>
      </c>
      <c r="C9" s="68">
        <f>147463-1+1080</f>
        <v>148542</v>
      </c>
      <c r="D9" s="68">
        <f>7000+1287+2500+3243</f>
        <v>14030</v>
      </c>
      <c r="E9" s="15" t="s">
        <v>9</v>
      </c>
      <c r="F9" s="27">
        <f>G9-C9-D9</f>
        <v>141554</v>
      </c>
      <c r="G9" s="77">
        <f t="shared" si="0"/>
        <v>304126</v>
      </c>
      <c r="H9" s="68">
        <f>288448+3243+4000</f>
        <v>295691</v>
      </c>
      <c r="I9" s="68">
        <v>8435</v>
      </c>
      <c r="J9" s="80"/>
    </row>
    <row r="10" spans="2:10" ht="15.75" thickBot="1" x14ac:dyDescent="0.3">
      <c r="B10" s="9" t="s">
        <v>67</v>
      </c>
      <c r="C10" s="11"/>
      <c r="D10" s="68">
        <f>2500+17689+157</f>
        <v>20346</v>
      </c>
      <c r="E10" s="15" t="s">
        <v>9</v>
      </c>
      <c r="F10" s="27">
        <f>G10-C10-D10</f>
        <v>58579</v>
      </c>
      <c r="G10" s="17">
        <f t="shared" si="0"/>
        <v>78925</v>
      </c>
      <c r="H10" s="68">
        <f>69682+9243</f>
        <v>78925</v>
      </c>
      <c r="I10" s="68"/>
      <c r="J10" s="80"/>
    </row>
    <row r="11" spans="2:10"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0"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0" ht="43.5" customHeight="1" thickBot="1" x14ac:dyDescent="0.3">
      <c r="B13" s="9" t="s">
        <v>102</v>
      </c>
      <c r="C13" s="11"/>
      <c r="D13" s="68">
        <f>18298+18569-700-896-86-6037+2407</f>
        <v>31555</v>
      </c>
      <c r="E13" s="186" t="s">
        <v>138</v>
      </c>
      <c r="F13" s="187"/>
      <c r="G13" s="17">
        <f t="shared" si="0"/>
        <v>16227</v>
      </c>
      <c r="H13" s="68">
        <f>6123+10104</f>
        <v>16227</v>
      </c>
      <c r="I13" s="11"/>
      <c r="J13" s="80"/>
    </row>
    <row r="14" spans="2:10" ht="26.25" thickBot="1" x14ac:dyDescent="0.3">
      <c r="B14" s="9" t="s">
        <v>166</v>
      </c>
      <c r="C14" s="11"/>
      <c r="D14" s="11">
        <v>27393</v>
      </c>
      <c r="E14" s="15" t="s">
        <v>9</v>
      </c>
      <c r="F14" s="27">
        <f>G14-C14-D14</f>
        <v>40267</v>
      </c>
      <c r="G14" s="17">
        <f t="shared" si="0"/>
        <v>67660</v>
      </c>
      <c r="H14" s="68">
        <f>40267+27393</f>
        <v>67660</v>
      </c>
      <c r="I14" s="11"/>
      <c r="J14" s="80"/>
    </row>
    <row r="15" spans="2:10" ht="26.25" thickBot="1" x14ac:dyDescent="0.3">
      <c r="B15" s="8" t="s">
        <v>13</v>
      </c>
      <c r="C15" s="10">
        <f>SUM(C16:C19)</f>
        <v>409690</v>
      </c>
      <c r="D15" s="10">
        <f>SUM(D16:D19)</f>
        <v>46444</v>
      </c>
      <c r="E15" s="14" t="s">
        <v>35</v>
      </c>
      <c r="F15" s="26">
        <f>G15-C15-D15</f>
        <v>39985</v>
      </c>
      <c r="G15" s="56">
        <f t="shared" si="0"/>
        <v>496119</v>
      </c>
      <c r="H15" s="10">
        <f>SUM(H16:H19)</f>
        <v>484983</v>
      </c>
      <c r="I15" s="10">
        <f>SUM(I16:I19)</f>
        <v>11136</v>
      </c>
      <c r="J15" s="79">
        <f>SUM(J16:J19)</f>
        <v>54033</v>
      </c>
    </row>
    <row r="16" spans="2:10" ht="15.75" thickBot="1" x14ac:dyDescent="0.3">
      <c r="B16" s="9" t="s">
        <v>69</v>
      </c>
      <c r="C16" s="68">
        <v>306298</v>
      </c>
      <c r="D16" s="11"/>
      <c r="E16" s="15" t="s">
        <v>10</v>
      </c>
      <c r="F16" s="27">
        <f>G16-C16-D16</f>
        <v>309</v>
      </c>
      <c r="G16" s="17">
        <f t="shared" si="0"/>
        <v>306607</v>
      </c>
      <c r="H16" s="68">
        <f>293266+2205</f>
        <v>295471</v>
      </c>
      <c r="I16" s="68">
        <v>11136</v>
      </c>
      <c r="J16" s="80"/>
    </row>
    <row r="17" spans="2:14" ht="32.1" customHeight="1" thickBot="1" x14ac:dyDescent="0.3">
      <c r="B17" s="9" t="s">
        <v>70</v>
      </c>
      <c r="C17" s="68">
        <v>33770</v>
      </c>
      <c r="D17" s="68">
        <v>8916</v>
      </c>
      <c r="E17" s="15" t="s">
        <v>10</v>
      </c>
      <c r="F17" s="27">
        <f>G17-C17-D17</f>
        <v>13165</v>
      </c>
      <c r="G17" s="17">
        <f t="shared" si="0"/>
        <v>55851</v>
      </c>
      <c r="H17" s="68">
        <f>55851</f>
        <v>55851</v>
      </c>
      <c r="I17" s="68"/>
      <c r="J17" s="80"/>
    </row>
    <row r="18" spans="2:14"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4" ht="39" thickBot="1" x14ac:dyDescent="0.3">
      <c r="B19" s="9" t="s">
        <v>130</v>
      </c>
      <c r="C19" s="11"/>
      <c r="D19" s="11"/>
      <c r="E19" s="15" t="s">
        <v>10</v>
      </c>
      <c r="F19" s="27">
        <f t="shared" si="3"/>
        <v>0</v>
      </c>
      <c r="G19" s="17">
        <f t="shared" si="0"/>
        <v>0</v>
      </c>
      <c r="H19" s="68"/>
      <c r="I19" s="68"/>
      <c r="J19" s="81">
        <f>41329+8598+4106</f>
        <v>54033</v>
      </c>
    </row>
    <row r="20" spans="2:14"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4" ht="15.75" thickBot="1" x14ac:dyDescent="0.3">
      <c r="B21" s="41" t="s">
        <v>72</v>
      </c>
      <c r="C21" s="68">
        <v>2302</v>
      </c>
      <c r="D21" s="11"/>
      <c r="E21" s="15" t="s">
        <v>10</v>
      </c>
      <c r="F21" s="27">
        <f>G21-C21-D21</f>
        <v>5054</v>
      </c>
      <c r="G21" s="17">
        <f>H21+I21</f>
        <v>7356</v>
      </c>
      <c r="H21" s="68"/>
      <c r="I21" s="68">
        <v>7356</v>
      </c>
      <c r="J21" s="81">
        <v>3160</v>
      </c>
    </row>
    <row r="22" spans="2:14" ht="26.25" thickBot="1" x14ac:dyDescent="0.3">
      <c r="B22" s="41" t="s">
        <v>73</v>
      </c>
      <c r="C22" s="68">
        <v>9446</v>
      </c>
      <c r="D22" s="11"/>
      <c r="E22" s="15" t="s">
        <v>10</v>
      </c>
      <c r="F22" s="27">
        <f>G22-C22-D22</f>
        <v>27812</v>
      </c>
      <c r="G22" s="17">
        <f>H22+I22</f>
        <v>37258</v>
      </c>
      <c r="H22" s="68"/>
      <c r="I22" s="68">
        <v>37258</v>
      </c>
      <c r="J22" s="81">
        <v>1077</v>
      </c>
    </row>
    <row r="23" spans="2:14" ht="15.75" thickBot="1" x14ac:dyDescent="0.3">
      <c r="B23" s="41" t="s">
        <v>74</v>
      </c>
      <c r="C23" s="11"/>
      <c r="D23" s="11"/>
      <c r="E23" s="15" t="s">
        <v>9</v>
      </c>
      <c r="F23" s="27">
        <f>G23-C23-D23</f>
        <v>6744</v>
      </c>
      <c r="G23" s="17">
        <f>H23+I23</f>
        <v>6744</v>
      </c>
      <c r="H23" s="68"/>
      <c r="I23" s="68">
        <v>6744</v>
      </c>
      <c r="J23" s="81"/>
    </row>
    <row r="24" spans="2:14" ht="39" thickBot="1" x14ac:dyDescent="0.3">
      <c r="B24" s="41" t="s">
        <v>127</v>
      </c>
      <c r="C24" s="11"/>
      <c r="D24" s="11"/>
      <c r="E24" s="15" t="s">
        <v>9</v>
      </c>
      <c r="F24" s="27">
        <f t="shared" ref="F24:F25" si="4">G24-C24-D24</f>
        <v>91729</v>
      </c>
      <c r="G24" s="17">
        <f>H24+I24</f>
        <v>91729</v>
      </c>
      <c r="H24" s="68"/>
      <c r="I24" s="68">
        <v>91729</v>
      </c>
      <c r="J24" s="92">
        <f>6432+440+3538</f>
        <v>10410</v>
      </c>
    </row>
    <row r="25" spans="2:14" ht="26.25" thickBot="1" x14ac:dyDescent="0.3">
      <c r="B25" s="41" t="s">
        <v>75</v>
      </c>
      <c r="C25" s="11"/>
      <c r="D25" s="11"/>
      <c r="E25" s="15" t="s">
        <v>9</v>
      </c>
      <c r="F25" s="27">
        <f t="shared" si="4"/>
        <v>0</v>
      </c>
      <c r="G25" s="17">
        <f t="shared" ref="G25" si="5">H25+I25</f>
        <v>0</v>
      </c>
      <c r="H25" s="11"/>
      <c r="I25" s="11"/>
      <c r="J25" s="81">
        <v>4510</v>
      </c>
    </row>
    <row r="26" spans="2:14"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c r="N26" s="1">
        <v>0</v>
      </c>
    </row>
    <row r="27" spans="2:14" ht="24.75" thickBot="1" x14ac:dyDescent="0.3">
      <c r="B27" s="9" t="s">
        <v>76</v>
      </c>
      <c r="C27" s="11"/>
      <c r="D27" s="11"/>
      <c r="E27" s="15" t="s">
        <v>41</v>
      </c>
      <c r="F27" s="27">
        <f>G27-C27-D27</f>
        <v>11789</v>
      </c>
      <c r="G27" s="17">
        <f>H27+I27</f>
        <v>11789</v>
      </c>
      <c r="H27" s="61"/>
      <c r="I27" s="68">
        <v>11789</v>
      </c>
      <c r="J27" s="81">
        <v>621</v>
      </c>
    </row>
    <row r="28" spans="2:14" ht="39" thickBot="1" x14ac:dyDescent="0.3">
      <c r="B28" s="9" t="s">
        <v>77</v>
      </c>
      <c r="C28" s="68">
        <v>5304</v>
      </c>
      <c r="D28" s="11"/>
      <c r="E28" s="15" t="s">
        <v>10</v>
      </c>
      <c r="F28" s="27">
        <f>G28-C28-D28</f>
        <v>1233</v>
      </c>
      <c r="G28" s="17">
        <f>H28+I28</f>
        <v>6537</v>
      </c>
      <c r="H28" s="61"/>
      <c r="I28" s="68">
        <v>6537</v>
      </c>
      <c r="J28" s="80"/>
    </row>
    <row r="29" spans="2:14"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4" ht="34.35" customHeight="1" thickBot="1" x14ac:dyDescent="0.3">
      <c r="B30" s="8" t="s">
        <v>15</v>
      </c>
      <c r="C30" s="10">
        <f>SUM(C31:C34)</f>
        <v>176191</v>
      </c>
      <c r="D30" s="10">
        <f>SUM(D31:D34)</f>
        <v>0</v>
      </c>
      <c r="E30" s="14" t="s">
        <v>9</v>
      </c>
      <c r="F30" s="26">
        <f>G30-C30-D30</f>
        <v>19069</v>
      </c>
      <c r="G30" s="56">
        <f>H30+I30</f>
        <v>195260</v>
      </c>
      <c r="H30" s="10">
        <f>SUM(H31:H34)</f>
        <v>195260</v>
      </c>
      <c r="I30" s="10">
        <f>SUM(I31:I34)</f>
        <v>0</v>
      </c>
      <c r="J30" s="79">
        <f>SUM(J31:J34)</f>
        <v>11490</v>
      </c>
    </row>
    <row r="31" spans="2:14" ht="26.25" thickBot="1" x14ac:dyDescent="0.3">
      <c r="B31" s="9" t="s">
        <v>133</v>
      </c>
      <c r="C31" s="155"/>
      <c r="D31" s="11"/>
      <c r="E31" s="15" t="s">
        <v>9</v>
      </c>
      <c r="F31" s="171">
        <f>(G31+G32)-C31</f>
        <v>4300</v>
      </c>
      <c r="G31" s="17">
        <f>H31+I31</f>
        <v>4300</v>
      </c>
      <c r="H31" s="68">
        <v>4300</v>
      </c>
      <c r="I31" s="11"/>
      <c r="J31" s="80"/>
    </row>
    <row r="32" spans="2:14" ht="39" thickBot="1" x14ac:dyDescent="0.3">
      <c r="B32" s="9" t="s">
        <v>79</v>
      </c>
      <c r="C32" s="156"/>
      <c r="D32" s="11"/>
      <c r="E32" s="15" t="s">
        <v>9</v>
      </c>
      <c r="F32" s="172"/>
      <c r="G32" s="17">
        <f t="shared" ref="G32" si="9">H32+I32</f>
        <v>0</v>
      </c>
      <c r="H32" s="87"/>
      <c r="I32" s="11"/>
      <c r="J32" s="80"/>
    </row>
    <row r="33" spans="2:10" ht="56.25" customHeight="1" thickBot="1" x14ac:dyDescent="0.3">
      <c r="B33" s="9" t="s">
        <v>128</v>
      </c>
      <c r="C33" s="68">
        <v>176151</v>
      </c>
      <c r="D33" s="11"/>
      <c r="E33" s="15" t="s">
        <v>9</v>
      </c>
      <c r="F33" s="27">
        <f>G33-C33-D33</f>
        <v>14769</v>
      </c>
      <c r="G33" s="17">
        <f>H33+I33</f>
        <v>190920</v>
      </c>
      <c r="H33" s="68">
        <f>176151+14769</f>
        <v>190920</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16420</v>
      </c>
      <c r="E35" s="14" t="s">
        <v>173</v>
      </c>
      <c r="F35" s="26">
        <f>G35-C35-D35</f>
        <v>14112</v>
      </c>
      <c r="G35" s="56">
        <f>H35+I35</f>
        <v>30532</v>
      </c>
      <c r="H35" s="10">
        <f>SUM(H36:H39)</f>
        <v>21820</v>
      </c>
      <c r="I35" s="10">
        <f t="shared" ref="I35:J35" si="12">SUM(I36:I39)</f>
        <v>8712</v>
      </c>
      <c r="J35" s="79">
        <f t="shared" si="12"/>
        <v>5868</v>
      </c>
    </row>
    <row r="36" spans="2:10" ht="15.75" thickBot="1" x14ac:dyDescent="0.3">
      <c r="B36" s="9" t="s">
        <v>164</v>
      </c>
      <c r="C36" s="68"/>
      <c r="D36" s="11">
        <v>9204</v>
      </c>
      <c r="E36" s="67" t="s">
        <v>10</v>
      </c>
      <c r="F36" s="27">
        <f>G36-C36-D36</f>
        <v>173</v>
      </c>
      <c r="G36" s="17">
        <f>H36+I36</f>
        <v>9377</v>
      </c>
      <c r="H36" s="68">
        <f>7368+968+994+47</f>
        <v>9377</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5">
        <v>13006</v>
      </c>
      <c r="D41" s="11"/>
      <c r="E41" s="15" t="s">
        <v>9</v>
      </c>
      <c r="F41" s="27">
        <f>G41-C41-D41</f>
        <v>62069</v>
      </c>
      <c r="G41" s="17">
        <f>H41+I41</f>
        <v>75075</v>
      </c>
      <c r="H41" s="68"/>
      <c r="I41" s="68">
        <f>69075+6000</f>
        <v>75075</v>
      </c>
      <c r="J41" s="81">
        <v>3684</v>
      </c>
    </row>
    <row r="42" spans="2:10" ht="15.75" thickBot="1" x14ac:dyDescent="0.3">
      <c r="B42" s="9" t="s">
        <v>85</v>
      </c>
      <c r="C42" s="157"/>
      <c r="D42" s="11"/>
      <c r="E42" s="15" t="s">
        <v>9</v>
      </c>
      <c r="F42" s="27">
        <f>G42-C42-D42</f>
        <v>12500</v>
      </c>
      <c r="G42" s="17">
        <f>H42+I42</f>
        <v>12500</v>
      </c>
      <c r="H42" s="68"/>
      <c r="I42" s="68">
        <v>12500</v>
      </c>
      <c r="J42" s="81"/>
    </row>
    <row r="43" spans="2:10" ht="26.25" thickBot="1" x14ac:dyDescent="0.3">
      <c r="B43" s="9" t="s">
        <v>86</v>
      </c>
      <c r="C43" s="157"/>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6"/>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168</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26700</v>
      </c>
      <c r="G52" s="56">
        <f>H52+I52</f>
        <v>26700</v>
      </c>
      <c r="H52" s="10">
        <f>SUM(H53:H56)</f>
        <v>21700</v>
      </c>
      <c r="I52" s="10">
        <f>SUM(I53:I56)</f>
        <v>5000</v>
      </c>
      <c r="J52" s="79">
        <f>SUM(J53:J56)</f>
        <v>0</v>
      </c>
    </row>
    <row r="53" spans="2:10" ht="26.25" thickBot="1" x14ac:dyDescent="0.3">
      <c r="B53" s="9" t="s">
        <v>88</v>
      </c>
      <c r="C53" s="11"/>
      <c r="D53" s="11"/>
      <c r="E53" s="15" t="s">
        <v>9</v>
      </c>
      <c r="F53" s="27">
        <f>G53-C53-D53</f>
        <v>8000</v>
      </c>
      <c r="G53" s="17">
        <f>H53+I53</f>
        <v>8000</v>
      </c>
      <c r="H53" s="68">
        <f>4000+4000</f>
        <v>8000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801591</v>
      </c>
      <c r="D62" s="21">
        <f>D57+D52+D40+D35+D30+D26+D20+D15+D11+D8</f>
        <v>156230</v>
      </c>
      <c r="E62" s="43"/>
      <c r="F62" s="31">
        <f t="shared" si="22"/>
        <v>617288</v>
      </c>
      <c r="G62" s="44">
        <f>G57+G52+G40+G35+G30+G26+G20+G15+G11+G8</f>
        <v>1575109</v>
      </c>
      <c r="H62" s="21">
        <f>H57+H52+H40+H35+H30+H26+H20+H15+H11+H8</f>
        <v>1262666</v>
      </c>
      <c r="I62" s="45">
        <f>I57+I52+I40+I35+I30+I26+I20+I15+I11+I8</f>
        <v>312443</v>
      </c>
      <c r="J62" s="46">
        <f>J57+J52+J40+J35+J30+J26+J20+J15+J11+J8</f>
        <v>236909</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0" ht="36" customHeight="1" thickBot="1" x14ac:dyDescent="0.3">
      <c r="B65" s="7" t="s">
        <v>2</v>
      </c>
      <c r="C65" s="76" t="s">
        <v>105</v>
      </c>
      <c r="D65" s="34" t="s">
        <v>0</v>
      </c>
      <c r="E65" s="35" t="s">
        <v>48</v>
      </c>
      <c r="F65" s="36" t="s">
        <v>49</v>
      </c>
      <c r="G65" s="18" t="s">
        <v>59</v>
      </c>
      <c r="H65" s="160" t="s">
        <v>46</v>
      </c>
      <c r="I65" s="161"/>
      <c r="J65" s="161"/>
    </row>
    <row r="66" spans="2:10" ht="15.75" thickBot="1" x14ac:dyDescent="0.3">
      <c r="B66" s="8" t="s">
        <v>42</v>
      </c>
      <c r="C66" s="10">
        <f>SUM(C67:C70)</f>
        <v>360910</v>
      </c>
      <c r="D66" s="10">
        <f>SUM(D67:D70)</f>
        <v>42146</v>
      </c>
      <c r="E66" s="14"/>
      <c r="F66" s="10">
        <f>SUM(F67:F70)</f>
        <v>10212</v>
      </c>
      <c r="G66" s="86">
        <f>SUM(G67:G70)</f>
        <v>127244</v>
      </c>
      <c r="H66" s="162"/>
      <c r="I66" s="163"/>
      <c r="J66" s="163"/>
    </row>
    <row r="67" spans="2:10" ht="48.75" customHeight="1" thickBot="1" x14ac:dyDescent="0.3">
      <c r="B67" s="9" t="s">
        <v>95</v>
      </c>
      <c r="C67" s="11"/>
      <c r="D67" s="11"/>
      <c r="E67" s="66" t="s">
        <v>50</v>
      </c>
      <c r="F67" s="27">
        <v>10000</v>
      </c>
      <c r="G67" s="77">
        <f>C67+D67+F67</f>
        <v>10000</v>
      </c>
      <c r="H67" s="162"/>
      <c r="I67" s="163"/>
      <c r="J67" s="163"/>
    </row>
    <row r="68" spans="2:10" ht="53.25" customHeight="1" thickBot="1" x14ac:dyDescent="0.3">
      <c r="B68" s="9" t="s">
        <v>96</v>
      </c>
      <c r="C68" s="11">
        <v>54949</v>
      </c>
      <c r="D68" s="68">
        <f>315+22358+86+6037</f>
        <v>28796</v>
      </c>
      <c r="E68" s="66" t="s">
        <v>47</v>
      </c>
      <c r="F68" s="27"/>
      <c r="G68" s="77">
        <f>C68+D68+F68-F75</f>
        <v>83745</v>
      </c>
      <c r="H68" s="162"/>
      <c r="I68" s="163"/>
      <c r="J68" s="163"/>
    </row>
    <row r="69" spans="2:10" ht="51.75" customHeight="1" thickBot="1" x14ac:dyDescent="0.3">
      <c r="B69" s="9" t="s">
        <v>97</v>
      </c>
      <c r="C69" s="11">
        <v>10000</v>
      </c>
      <c r="D69" s="11"/>
      <c r="E69" s="66" t="s">
        <v>150</v>
      </c>
      <c r="F69" s="27"/>
      <c r="G69" s="77">
        <f>C69+D69+F69</f>
        <v>10000</v>
      </c>
      <c r="H69" s="164"/>
      <c r="I69" s="165"/>
      <c r="J69" s="165"/>
    </row>
    <row r="70" spans="2:10" ht="49.5" customHeight="1" thickBot="1" x14ac:dyDescent="0.3">
      <c r="B70" s="9" t="s">
        <v>107</v>
      </c>
      <c r="C70" s="11">
        <f>9464+25+47+116+174+111+250000+12000+1750+6627+4470+6433+1143+2601+1000</f>
        <v>295961</v>
      </c>
      <c r="D70" s="68">
        <v>13350</v>
      </c>
      <c r="E70" s="66" t="s">
        <v>148</v>
      </c>
      <c r="F70" s="83">
        <f>G95</f>
        <v>212</v>
      </c>
      <c r="G70" s="77">
        <f>C70+D70+F70-F73-F74-F78-F79-F80-F81-F82-F83-F84-F85-F86</f>
        <v>23499</v>
      </c>
      <c r="H70" s="173" t="s">
        <v>149</v>
      </c>
      <c r="I70" s="174"/>
      <c r="J70" s="174"/>
    </row>
    <row r="71" spans="2:10" ht="51.75" customHeight="1" thickBot="1" x14ac:dyDescent="0.3">
      <c r="B71" s="70" t="s">
        <v>2</v>
      </c>
      <c r="C71" s="71" t="s">
        <v>3</v>
      </c>
      <c r="D71" s="71" t="s">
        <v>21</v>
      </c>
      <c r="E71" s="72" t="s">
        <v>22</v>
      </c>
      <c r="F71" s="73" t="s">
        <v>29</v>
      </c>
      <c r="G71" s="18" t="s">
        <v>23</v>
      </c>
      <c r="H71" s="175"/>
      <c r="I71" s="176"/>
      <c r="J71" s="176"/>
    </row>
    <row r="72" spans="2:10" ht="26.25" thickBot="1" x14ac:dyDescent="0.3">
      <c r="B72" s="8" t="s">
        <v>44</v>
      </c>
      <c r="C72" s="10">
        <f>SUM(C73:C76)</f>
        <v>0</v>
      </c>
      <c r="D72" s="10">
        <f>SUM(D73:D76)</f>
        <v>25000</v>
      </c>
      <c r="E72" s="14"/>
      <c r="F72" s="26">
        <f>SUM(F73:F76)</f>
        <v>286024</v>
      </c>
      <c r="G72" s="56">
        <f>SUM(C72+D72+F72)</f>
        <v>311024</v>
      </c>
      <c r="H72" s="158" t="s">
        <v>131</v>
      </c>
      <c r="I72" s="159"/>
      <c r="J72" s="159"/>
    </row>
    <row r="73" spans="2:10" ht="27" customHeight="1" thickBot="1" x14ac:dyDescent="0.3">
      <c r="B73" s="9" t="s">
        <v>98</v>
      </c>
      <c r="C73" s="11"/>
      <c r="D73" s="11"/>
      <c r="E73" s="66" t="s">
        <v>51</v>
      </c>
      <c r="F73" s="69">
        <f>250000+12000+1750+6627+4470+6433+1143+2601+1000</f>
        <v>286024</v>
      </c>
      <c r="G73" s="17">
        <f t="shared" ref="G73:G75" si="24">SUM(C73+D73+F73)</f>
        <v>286024</v>
      </c>
      <c r="H73" s="129" t="s">
        <v>53</v>
      </c>
      <c r="I73" s="129" t="s">
        <v>64</v>
      </c>
      <c r="J73" s="129" t="s">
        <v>132</v>
      </c>
    </row>
    <row r="74" spans="2:10" ht="26.25" thickBot="1" x14ac:dyDescent="0.3">
      <c r="B74" s="9" t="s">
        <v>106</v>
      </c>
      <c r="C74" s="11"/>
      <c r="D74" s="11"/>
      <c r="E74" s="66" t="s">
        <v>51</v>
      </c>
      <c r="F74" s="69"/>
      <c r="G74" s="77">
        <f t="shared" si="24"/>
        <v>0</v>
      </c>
      <c r="H74" s="130"/>
      <c r="I74" s="130"/>
      <c r="J74" s="130"/>
    </row>
    <row r="75" spans="2:10" ht="38.25" customHeight="1" thickBot="1" x14ac:dyDescent="0.3">
      <c r="B75" s="9" t="s">
        <v>99</v>
      </c>
      <c r="C75" s="11"/>
      <c r="D75" s="11"/>
      <c r="E75" s="66" t="s">
        <v>152</v>
      </c>
      <c r="F75" s="69"/>
      <c r="G75" s="77">
        <f t="shared" si="24"/>
        <v>0</v>
      </c>
      <c r="H75" s="130"/>
      <c r="I75" s="130"/>
      <c r="J75" s="130"/>
    </row>
    <row r="76" spans="2:10" ht="26.25" thickBot="1" x14ac:dyDescent="0.3">
      <c r="B76" s="9" t="s">
        <v>100</v>
      </c>
      <c r="C76" s="11"/>
      <c r="D76" s="11">
        <v>25000</v>
      </c>
      <c r="E76" s="66" t="s">
        <v>9</v>
      </c>
      <c r="F76" s="69"/>
      <c r="G76" s="77">
        <f>SUM(C76+D76+F76)</f>
        <v>25000</v>
      </c>
      <c r="H76" s="131"/>
      <c r="I76" s="131"/>
      <c r="J76" s="131"/>
    </row>
    <row r="77" spans="2:10" ht="26.25" thickBot="1" x14ac:dyDescent="0.3">
      <c r="B77" s="8" t="s">
        <v>57</v>
      </c>
      <c r="C77" s="10">
        <f>SUM(C79:C86)</f>
        <v>0</v>
      </c>
      <c r="D77" s="10">
        <f>SUM(D79:D86)</f>
        <v>1519969</v>
      </c>
      <c r="E77" s="14"/>
      <c r="F77" s="10">
        <f>SUM(F78:F86)</f>
        <v>0</v>
      </c>
      <c r="G77" s="56">
        <f>SUM(C77+D77+F77)</f>
        <v>1519969</v>
      </c>
      <c r="H77" s="62">
        <f>SUM(H79:H86)</f>
        <v>3390660</v>
      </c>
      <c r="I77" s="65">
        <f>SUM(I79:I86)</f>
        <v>417496</v>
      </c>
      <c r="J77" s="65">
        <f>SUM(J79:J86)</f>
        <v>5328125</v>
      </c>
    </row>
    <row r="78" spans="2:10" ht="46.35" customHeight="1" thickBot="1" x14ac:dyDescent="0.3">
      <c r="B78" s="9" t="s">
        <v>52</v>
      </c>
      <c r="C78" s="11"/>
      <c r="D78" s="11"/>
      <c r="E78" s="126" t="s">
        <v>151</v>
      </c>
      <c r="F78" s="27"/>
      <c r="G78" s="17">
        <f t="shared" ref="G78:G86" si="25">C78+D78+F78</f>
        <v>0</v>
      </c>
      <c r="H78" s="63"/>
      <c r="I78" s="63"/>
      <c r="J78" s="64">
        <f>SUM(G78:I78)</f>
        <v>0</v>
      </c>
    </row>
    <row r="79" spans="2:10" ht="15" customHeight="1" thickBot="1" x14ac:dyDescent="0.3">
      <c r="B79" s="9" t="s">
        <v>157</v>
      </c>
      <c r="C79" s="11"/>
      <c r="D79" s="11"/>
      <c r="E79" s="127"/>
      <c r="F79" s="27"/>
      <c r="G79" s="17">
        <f t="shared" si="25"/>
        <v>0</v>
      </c>
      <c r="H79" s="63"/>
      <c r="I79" s="63"/>
      <c r="J79" s="64">
        <f>SUM(G79:I79)</f>
        <v>0</v>
      </c>
    </row>
    <row r="80" spans="2:10" ht="15.75" thickBot="1" x14ac:dyDescent="0.3">
      <c r="B80" s="9" t="s">
        <v>26</v>
      </c>
      <c r="C80" s="68"/>
      <c r="D80" s="11">
        <v>43295</v>
      </c>
      <c r="E80" s="127"/>
      <c r="F80" s="27"/>
      <c r="G80" s="77">
        <f t="shared" si="25"/>
        <v>43295</v>
      </c>
      <c r="H80" s="63"/>
      <c r="I80" s="63">
        <v>206705</v>
      </c>
      <c r="J80" s="64">
        <f t="shared" ref="J80:J86" si="26">SUM(G80:I80)</f>
        <v>250000</v>
      </c>
    </row>
    <row r="81" spans="2:10" ht="15.75" thickBot="1" x14ac:dyDescent="0.3">
      <c r="B81" s="9" t="s">
        <v>25</v>
      </c>
      <c r="C81" s="68"/>
      <c r="D81" s="11">
        <v>14074</v>
      </c>
      <c r="E81" s="127"/>
      <c r="F81" s="27"/>
      <c r="G81" s="77">
        <f t="shared" si="25"/>
        <v>14074</v>
      </c>
      <c r="H81" s="63">
        <v>789765</v>
      </c>
      <c r="I81" s="63">
        <v>35961</v>
      </c>
      <c r="J81" s="64">
        <f t="shared" si="26"/>
        <v>839800</v>
      </c>
    </row>
    <row r="82" spans="2:10" ht="15.75" thickBot="1" x14ac:dyDescent="0.3">
      <c r="B82" s="9" t="s">
        <v>62</v>
      </c>
      <c r="C82" s="11"/>
      <c r="D82" s="11"/>
      <c r="E82" s="127"/>
      <c r="F82" s="27"/>
      <c r="G82" s="77">
        <f t="shared" si="25"/>
        <v>0</v>
      </c>
      <c r="H82" s="63"/>
      <c r="I82" s="63"/>
      <c r="J82" s="64">
        <f t="shared" si="26"/>
        <v>0</v>
      </c>
    </row>
    <row r="83" spans="2:10" ht="26.25" thickBot="1" x14ac:dyDescent="0.3">
      <c r="B83" s="9" t="s">
        <v>165</v>
      </c>
      <c r="C83" s="11"/>
      <c r="D83" s="11">
        <v>78662</v>
      </c>
      <c r="E83" s="127"/>
      <c r="F83" s="27"/>
      <c r="G83" s="77">
        <f t="shared" si="25"/>
        <v>78662</v>
      </c>
      <c r="H83" s="63"/>
      <c r="I83" s="63"/>
      <c r="J83" s="64">
        <f t="shared" si="26"/>
        <v>78662</v>
      </c>
    </row>
    <row r="84" spans="2:10" ht="15.75" thickBot="1" x14ac:dyDescent="0.3">
      <c r="B84" s="9" t="s">
        <v>61</v>
      </c>
      <c r="C84" s="11"/>
      <c r="D84" s="11"/>
      <c r="E84" s="127"/>
      <c r="F84" s="27"/>
      <c r="G84" s="77">
        <f t="shared" si="25"/>
        <v>0</v>
      </c>
      <c r="H84" s="63"/>
      <c r="I84" s="63"/>
      <c r="J84" s="64">
        <f t="shared" si="26"/>
        <v>0</v>
      </c>
    </row>
    <row r="85" spans="2:10" ht="15.75" thickBot="1" x14ac:dyDescent="0.3">
      <c r="B85" s="9" t="s">
        <v>27</v>
      </c>
      <c r="C85" s="11"/>
      <c r="D85" s="11">
        <v>1383938</v>
      </c>
      <c r="E85" s="127"/>
      <c r="F85" s="27"/>
      <c r="G85" s="17">
        <f t="shared" si="25"/>
        <v>1383938</v>
      </c>
      <c r="H85" s="63">
        <v>2600895</v>
      </c>
      <c r="I85" s="63">
        <v>174830</v>
      </c>
      <c r="J85" s="64">
        <f t="shared" si="26"/>
        <v>4159663</v>
      </c>
    </row>
    <row r="86" spans="2:10" ht="15.75" thickBot="1" x14ac:dyDescent="0.3">
      <c r="B86" s="9" t="s">
        <v>135</v>
      </c>
      <c r="C86" s="11"/>
      <c r="D86" s="11"/>
      <c r="E86" s="128"/>
      <c r="F86" s="27"/>
      <c r="G86" s="17">
        <f t="shared" si="25"/>
        <v>0</v>
      </c>
      <c r="H86" s="63"/>
      <c r="I86" s="63"/>
      <c r="J86" s="64">
        <f t="shared" si="26"/>
        <v>0</v>
      </c>
    </row>
    <row r="87" spans="2:10" ht="30.75" customHeight="1" thickBot="1" x14ac:dyDescent="0.3">
      <c r="B87" s="181" t="s">
        <v>43</v>
      </c>
      <c r="C87" s="139" t="s">
        <v>56</v>
      </c>
      <c r="D87" s="139"/>
      <c r="E87" s="139"/>
      <c r="F87" s="139"/>
      <c r="G87" s="40">
        <f>G62</f>
        <v>1575109</v>
      </c>
      <c r="H87" s="193">
        <f>SUM(G87:G90)</f>
        <v>3533346</v>
      </c>
      <c r="I87" s="195" t="s">
        <v>141</v>
      </c>
      <c r="J87" s="195"/>
    </row>
    <row r="88" spans="2:10" ht="42.75" customHeight="1" thickBot="1" x14ac:dyDescent="0.3">
      <c r="B88" s="192"/>
      <c r="C88" s="139" t="s">
        <v>104</v>
      </c>
      <c r="D88" s="139"/>
      <c r="E88" s="139"/>
      <c r="F88" s="152"/>
      <c r="G88" s="40">
        <f>G66</f>
        <v>127244</v>
      </c>
      <c r="H88" s="194"/>
      <c r="I88" s="196"/>
      <c r="J88" s="196"/>
    </row>
    <row r="89" spans="2:10" ht="30" customHeight="1" thickBot="1" x14ac:dyDescent="0.3">
      <c r="B89" s="192"/>
      <c r="C89" s="139" t="s">
        <v>55</v>
      </c>
      <c r="D89" s="139"/>
      <c r="E89" s="139"/>
      <c r="F89" s="152"/>
      <c r="G89" s="40">
        <f>G72</f>
        <v>311024</v>
      </c>
      <c r="H89" s="194"/>
      <c r="I89" s="197"/>
      <c r="J89" s="197"/>
    </row>
    <row r="90" spans="2:10" ht="19.350000000000001" customHeight="1" thickBot="1" x14ac:dyDescent="0.3">
      <c r="B90" s="169"/>
      <c r="C90" s="139" t="s">
        <v>60</v>
      </c>
      <c r="D90" s="139"/>
      <c r="E90" s="139"/>
      <c r="F90" s="139"/>
      <c r="G90" s="42">
        <f>G77</f>
        <v>1519969</v>
      </c>
      <c r="H90" s="194"/>
      <c r="I90" s="198">
        <f>G95</f>
        <v>212</v>
      </c>
      <c r="J90" s="198"/>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7" t="s">
        <v>168</v>
      </c>
      <c r="C93" s="177"/>
      <c r="D93" s="177"/>
      <c r="E93" s="177"/>
      <c r="F93" s="177"/>
      <c r="G93" s="177"/>
      <c r="H93" s="177"/>
      <c r="I93" s="177"/>
      <c r="J93" s="17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92862</v>
      </c>
      <c r="F95" s="19">
        <f>D95-E95</f>
        <v>-7862</v>
      </c>
      <c r="G95" s="140">
        <f>F95+F96+F99</f>
        <v>212</v>
      </c>
      <c r="H95" s="33"/>
      <c r="I95" s="33"/>
      <c r="J95" s="33"/>
    </row>
    <row r="96" spans="2:10" ht="16.350000000000001" customHeight="1" thickBot="1" x14ac:dyDescent="0.3">
      <c r="B96" s="22" t="s">
        <v>109</v>
      </c>
      <c r="C96" s="190" t="s">
        <v>170</v>
      </c>
      <c r="D96" s="68">
        <v>60000</v>
      </c>
      <c r="E96" s="190">
        <f>F9+F10+F12+F14+F23+F24+F25+F27+F31+F33+F34+F41+F42+F43+F44+F53+F54+F55+F56+F58+F59+F60+F61+F67+F76+F69</f>
        <v>534426</v>
      </c>
      <c r="F96" s="190">
        <f>D96+D97+D98+D99+D100-E96</f>
        <v>8074</v>
      </c>
      <c r="G96" s="141"/>
      <c r="H96" s="33"/>
      <c r="I96" s="33"/>
      <c r="J96" s="33"/>
    </row>
    <row r="97" spans="2:10" ht="15.75" thickBot="1" x14ac:dyDescent="0.3">
      <c r="B97" s="22" t="s">
        <v>126</v>
      </c>
      <c r="C97" s="191"/>
      <c r="D97" s="68">
        <f>210000</f>
        <v>210000</v>
      </c>
      <c r="E97" s="191"/>
      <c r="F97" s="191"/>
      <c r="G97" s="141"/>
      <c r="H97" s="33"/>
      <c r="I97" s="33"/>
      <c r="J97" s="33"/>
    </row>
    <row r="98" spans="2:10" ht="15.75" thickBot="1" x14ac:dyDescent="0.3">
      <c r="B98" s="22" t="s">
        <v>125</v>
      </c>
      <c r="C98" s="191"/>
      <c r="D98" s="68">
        <f>267000</f>
        <v>267000</v>
      </c>
      <c r="E98" s="191"/>
      <c r="F98" s="191"/>
      <c r="G98" s="141"/>
      <c r="H98" s="33"/>
      <c r="I98" s="33"/>
      <c r="J98" s="33"/>
    </row>
    <row r="99" spans="2:10" ht="15.75" thickBot="1" x14ac:dyDescent="0.3">
      <c r="B99" s="22" t="s">
        <v>110</v>
      </c>
      <c r="C99" s="190" t="s">
        <v>19</v>
      </c>
      <c r="D99" s="11">
        <v>1500</v>
      </c>
      <c r="E99" s="191"/>
      <c r="F99" s="191"/>
      <c r="G99" s="141"/>
      <c r="H99" s="33"/>
      <c r="I99" s="33"/>
      <c r="J99" s="33"/>
    </row>
    <row r="100" spans="2:10" ht="15.75" thickBot="1" x14ac:dyDescent="0.3">
      <c r="B100" s="22" t="s">
        <v>31</v>
      </c>
      <c r="C100" s="191"/>
      <c r="D100" s="11">
        <v>4000</v>
      </c>
      <c r="E100" s="205"/>
      <c r="F100" s="205"/>
      <c r="G100" s="141"/>
      <c r="H100" s="33"/>
      <c r="I100" s="33"/>
      <c r="J100" s="33"/>
    </row>
    <row r="101" spans="2:10" ht="33.75" customHeight="1" thickBot="1" x14ac:dyDescent="0.3">
      <c r="B101" s="189" t="s">
        <v>63</v>
      </c>
      <c r="C101" s="189"/>
      <c r="D101" s="85">
        <f>SUM(D95:D100)</f>
        <v>627500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8" customHeight="1" thickBot="1" x14ac:dyDescent="0.3">
      <c r="B103" s="148" t="s">
        <v>111</v>
      </c>
      <c r="C103" s="148"/>
      <c r="D103" s="148"/>
      <c r="E103" s="57">
        <f>G8</f>
        <v>383051</v>
      </c>
      <c r="F103" s="199" t="s">
        <v>171</v>
      </c>
      <c r="G103" s="200"/>
      <c r="H103" s="200"/>
      <c r="I103" s="200"/>
      <c r="J103" s="200"/>
    </row>
    <row r="104" spans="2:10" ht="19.5" customHeight="1" thickBot="1" x14ac:dyDescent="0.3">
      <c r="B104" s="148" t="s">
        <v>112</v>
      </c>
      <c r="C104" s="148"/>
      <c r="D104" s="148"/>
      <c r="E104" s="57">
        <f>G11</f>
        <v>128696</v>
      </c>
      <c r="F104" s="201"/>
      <c r="G104" s="202"/>
      <c r="H104" s="202"/>
      <c r="I104" s="202"/>
      <c r="J104" s="202"/>
    </row>
    <row r="105" spans="2:10" ht="18.75" customHeight="1" thickBot="1" x14ac:dyDescent="0.3">
      <c r="B105" s="148" t="s">
        <v>113</v>
      </c>
      <c r="C105" s="148"/>
      <c r="D105" s="148"/>
      <c r="E105" s="57">
        <f>G15</f>
        <v>496119</v>
      </c>
      <c r="F105" s="201"/>
      <c r="G105" s="202"/>
      <c r="H105" s="202"/>
      <c r="I105" s="202"/>
      <c r="J105" s="202"/>
    </row>
    <row r="106" spans="2:10" ht="30" customHeight="1" thickBot="1" x14ac:dyDescent="0.3">
      <c r="B106" s="148" t="s">
        <v>114</v>
      </c>
      <c r="C106" s="148"/>
      <c r="D106" s="148"/>
      <c r="E106" s="57">
        <f>G20</f>
        <v>143087</v>
      </c>
      <c r="F106" s="201"/>
      <c r="G106" s="202"/>
      <c r="H106" s="202"/>
      <c r="I106" s="202"/>
      <c r="J106" s="202"/>
    </row>
    <row r="107" spans="2:10" ht="19.5" customHeight="1" thickBot="1" x14ac:dyDescent="0.3">
      <c r="B107" s="148" t="s">
        <v>115</v>
      </c>
      <c r="C107" s="148"/>
      <c r="D107" s="148"/>
      <c r="E107" s="57">
        <f>G26</f>
        <v>42616</v>
      </c>
      <c r="F107" s="203"/>
      <c r="G107" s="204"/>
      <c r="H107" s="204"/>
      <c r="I107" s="204"/>
      <c r="J107" s="204"/>
    </row>
    <row r="108" spans="2:10" ht="18" customHeight="1" thickBot="1" x14ac:dyDescent="0.3">
      <c r="B108" s="148" t="s">
        <v>116</v>
      </c>
      <c r="C108" s="148"/>
      <c r="D108" s="148"/>
      <c r="E108" s="57">
        <f>G30</f>
        <v>195260</v>
      </c>
      <c r="F108" s="132" t="s">
        <v>169</v>
      </c>
      <c r="G108" s="132"/>
      <c r="H108" s="132"/>
      <c r="I108" s="132"/>
      <c r="J108" s="132"/>
    </row>
    <row r="109" spans="2:10" ht="31.5" customHeight="1" thickBot="1" x14ac:dyDescent="0.3">
      <c r="B109" s="148" t="s">
        <v>117</v>
      </c>
      <c r="C109" s="148"/>
      <c r="D109" s="148"/>
      <c r="E109" s="57">
        <f>G35</f>
        <v>30532</v>
      </c>
      <c r="F109" s="151" t="s">
        <v>121</v>
      </c>
      <c r="G109" s="149"/>
      <c r="H109" s="149"/>
      <c r="I109" s="150">
        <f>E113</f>
        <v>1575109</v>
      </c>
      <c r="J109" s="150"/>
    </row>
    <row r="110" spans="2:10" ht="21" customHeight="1" thickBot="1" x14ac:dyDescent="0.3">
      <c r="B110" s="148" t="s">
        <v>118</v>
      </c>
      <c r="C110" s="148"/>
      <c r="D110" s="148"/>
      <c r="E110" s="57">
        <f>G40</f>
        <v>119048</v>
      </c>
      <c r="F110" s="149" t="s">
        <v>122</v>
      </c>
      <c r="G110" s="149"/>
      <c r="H110" s="149"/>
      <c r="I110" s="150">
        <f>G66</f>
        <v>127244</v>
      </c>
      <c r="J110" s="150"/>
    </row>
    <row r="111" spans="2:10" ht="30" customHeight="1" thickBot="1" x14ac:dyDescent="0.3">
      <c r="B111" s="148" t="s">
        <v>119</v>
      </c>
      <c r="C111" s="148"/>
      <c r="D111" s="148"/>
      <c r="E111" s="57">
        <f>G52</f>
        <v>26700</v>
      </c>
      <c r="F111" s="149" t="s">
        <v>123</v>
      </c>
      <c r="G111" s="149"/>
      <c r="H111" s="149"/>
      <c r="I111" s="150">
        <f>G72</f>
        <v>311024</v>
      </c>
      <c r="J111" s="150"/>
    </row>
    <row r="112" spans="2:10" ht="31.5" customHeight="1" thickBot="1" x14ac:dyDescent="0.3">
      <c r="B112" s="148" t="s">
        <v>120</v>
      </c>
      <c r="C112" s="148"/>
      <c r="D112" s="148"/>
      <c r="E112" s="57">
        <f>G57</f>
        <v>10000</v>
      </c>
      <c r="F112" s="149" t="s">
        <v>124</v>
      </c>
      <c r="G112" s="149"/>
      <c r="H112" s="149"/>
      <c r="I112" s="150">
        <f>G77</f>
        <v>1519969</v>
      </c>
      <c r="J112" s="150"/>
    </row>
    <row r="113" spans="2:10" ht="23.25" customHeight="1" thickBot="1" x14ac:dyDescent="0.3">
      <c r="B113" s="142" t="s">
        <v>30</v>
      </c>
      <c r="C113" s="142"/>
      <c r="D113" s="142"/>
      <c r="E113" s="58">
        <f>SUM(E103:E112)</f>
        <v>1575109</v>
      </c>
      <c r="F113" s="143" t="s">
        <v>54</v>
      </c>
      <c r="G113" s="143"/>
      <c r="H113" s="143"/>
      <c r="I113" s="144">
        <f>SUM(I109:J112)</f>
        <v>3533346</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C99:C100"/>
    <mergeCell ref="E96:E100"/>
    <mergeCell ref="F96: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2CCA0"/>
  </sheetPr>
  <dimension ref="B1:L960"/>
  <sheetViews>
    <sheetView topLeftCell="A67"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8" t="s">
        <v>147</v>
      </c>
      <c r="C2" s="188"/>
      <c r="D2" s="188"/>
      <c r="E2" s="188"/>
      <c r="F2" s="188"/>
      <c r="G2" s="188"/>
      <c r="H2" s="188"/>
      <c r="I2" s="188"/>
      <c r="J2" s="188"/>
    </row>
    <row r="3" spans="2:12" ht="18.75" thickBot="1" x14ac:dyDescent="0.3">
      <c r="B3" s="177" t="s">
        <v>175</v>
      </c>
      <c r="C3" s="177"/>
      <c r="D3" s="177"/>
      <c r="E3" s="177"/>
      <c r="F3" s="177"/>
      <c r="G3" s="177"/>
      <c r="H3" s="177"/>
      <c r="I3" s="177"/>
      <c r="J3" s="177"/>
    </row>
    <row r="4" spans="2:12" x14ac:dyDescent="0.25">
      <c r="B4" s="178" t="s">
        <v>153</v>
      </c>
      <c r="C4" s="181" t="s">
        <v>24</v>
      </c>
      <c r="D4" s="181"/>
      <c r="E4" s="181"/>
      <c r="F4" s="181"/>
      <c r="G4" s="181"/>
      <c r="H4" s="181"/>
      <c r="I4" s="181"/>
      <c r="J4" s="24"/>
    </row>
    <row r="5" spans="2:12" x14ac:dyDescent="0.25">
      <c r="B5" s="179"/>
      <c r="C5" s="182"/>
      <c r="D5" s="182"/>
      <c r="E5" s="182"/>
      <c r="F5" s="182"/>
      <c r="G5" s="182"/>
      <c r="H5" s="182"/>
      <c r="I5" s="183" t="s">
        <v>5</v>
      </c>
      <c r="J5" s="183"/>
    </row>
    <row r="6" spans="2:12" ht="15.75" thickBot="1" x14ac:dyDescent="0.3">
      <c r="B6" s="180"/>
      <c r="C6" s="169" t="s">
        <v>7</v>
      </c>
      <c r="D6" s="169"/>
      <c r="E6" s="169"/>
      <c r="F6" s="169"/>
      <c r="G6" s="170" t="s">
        <v>8</v>
      </c>
      <c r="H6" s="170"/>
      <c r="I6" s="170"/>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148542</v>
      </c>
      <c r="D8" s="10">
        <f>SUM(D9:D10)</f>
        <v>36694</v>
      </c>
      <c r="E8" s="14" t="s">
        <v>167</v>
      </c>
      <c r="F8" s="26">
        <f>G8-C8-D8</f>
        <v>200770</v>
      </c>
      <c r="G8" s="56">
        <f t="shared" ref="G8:G19" si="0">H8+I8</f>
        <v>386006</v>
      </c>
      <c r="H8" s="10">
        <f>SUM(H9:H10)</f>
        <v>377571</v>
      </c>
      <c r="I8" s="10">
        <f t="shared" ref="I8:J8" si="1">SUM(I9:I10)</f>
        <v>8435</v>
      </c>
      <c r="J8" s="79">
        <f t="shared" si="1"/>
        <v>0</v>
      </c>
    </row>
    <row r="9" spans="2:12" ht="15.75" thickBot="1" x14ac:dyDescent="0.3">
      <c r="B9" s="9" t="s">
        <v>66</v>
      </c>
      <c r="C9" s="68">
        <f>147463-1+1080</f>
        <v>148542</v>
      </c>
      <c r="D9" s="68">
        <f>7000+1287+2500+3243+1508+236+74+500</f>
        <v>16348</v>
      </c>
      <c r="E9" s="15" t="s">
        <v>9</v>
      </c>
      <c r="F9" s="27">
        <f>G9-C9-D9</f>
        <v>141554</v>
      </c>
      <c r="G9" s="77">
        <f t="shared" si="0"/>
        <v>306444</v>
      </c>
      <c r="H9" s="68">
        <f>288448+3243+4000+1508+236+74+500</f>
        <v>298009</v>
      </c>
      <c r="I9" s="68">
        <v>8435</v>
      </c>
      <c r="J9" s="80"/>
      <c r="L9" s="1">
        <v>306444</v>
      </c>
    </row>
    <row r="10" spans="2:12" ht="15.75" thickBot="1" x14ac:dyDescent="0.3">
      <c r="B10" s="9" t="s">
        <v>67</v>
      </c>
      <c r="C10" s="11"/>
      <c r="D10" s="68">
        <f>2500+17689+157</f>
        <v>20346</v>
      </c>
      <c r="E10" s="15" t="s">
        <v>9</v>
      </c>
      <c r="F10" s="27">
        <f>G10-C10-D10</f>
        <v>59216</v>
      </c>
      <c r="G10" s="17">
        <f t="shared" si="0"/>
        <v>79562</v>
      </c>
      <c r="H10" s="68">
        <f>69682+9243+437+200</f>
        <v>79562</v>
      </c>
      <c r="I10" s="68"/>
      <c r="J10" s="80"/>
    </row>
    <row r="11" spans="2:12"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2"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2" ht="43.5" customHeight="1" thickBot="1" x14ac:dyDescent="0.3">
      <c r="B13" s="9" t="s">
        <v>102</v>
      </c>
      <c r="C13" s="11"/>
      <c r="D13" s="68">
        <f>18298+18569-700-896-86-6037+2407</f>
        <v>31555</v>
      </c>
      <c r="E13" s="186" t="s">
        <v>138</v>
      </c>
      <c r="F13" s="187"/>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188225</v>
      </c>
      <c r="D30" s="10">
        <f>SUM(D31:D34)</f>
        <v>0</v>
      </c>
      <c r="E30" s="14" t="s">
        <v>9</v>
      </c>
      <c r="F30" s="26">
        <f>G30-C30-D30</f>
        <v>19069</v>
      </c>
      <c r="G30" s="56">
        <f>H30+I30</f>
        <v>207294</v>
      </c>
      <c r="H30" s="10">
        <f>SUM(H31:H34)</f>
        <v>207294</v>
      </c>
      <c r="I30" s="10">
        <f>SUM(I31:I34)</f>
        <v>0</v>
      </c>
      <c r="J30" s="79">
        <f>SUM(J31:J34)</f>
        <v>11490</v>
      </c>
    </row>
    <row r="31" spans="2:10" ht="26.25" thickBot="1" x14ac:dyDescent="0.3">
      <c r="B31" s="9" t="s">
        <v>133</v>
      </c>
      <c r="C31" s="155"/>
      <c r="D31" s="11"/>
      <c r="E31" s="15" t="s">
        <v>9</v>
      </c>
      <c r="F31" s="171">
        <f>(G31+G32)-C31</f>
        <v>4300</v>
      </c>
      <c r="G31" s="17">
        <f>H31+I31</f>
        <v>4300</v>
      </c>
      <c r="H31" s="68">
        <v>4300</v>
      </c>
      <c r="I31" s="11"/>
      <c r="J31" s="80"/>
    </row>
    <row r="32" spans="2:10" ht="39" thickBot="1" x14ac:dyDescent="0.3">
      <c r="B32" s="9" t="s">
        <v>79</v>
      </c>
      <c r="C32" s="156"/>
      <c r="D32" s="11"/>
      <c r="E32" s="15" t="s">
        <v>9</v>
      </c>
      <c r="F32" s="172"/>
      <c r="G32" s="17">
        <f t="shared" ref="G32" si="9">H32+I32</f>
        <v>0</v>
      </c>
      <c r="H32" s="87"/>
      <c r="I32" s="11"/>
      <c r="J32" s="80"/>
    </row>
    <row r="33" spans="2:10" ht="56.25" customHeight="1" thickBot="1" x14ac:dyDescent="0.3">
      <c r="B33" s="9" t="s">
        <v>128</v>
      </c>
      <c r="C33" s="68">
        <f>176151+12034</f>
        <v>188185</v>
      </c>
      <c r="D33" s="11"/>
      <c r="E33" s="15" t="s">
        <v>9</v>
      </c>
      <c r="F33" s="27">
        <f>G33-C33-D33</f>
        <v>14769</v>
      </c>
      <c r="G33" s="17">
        <f>H33+I33</f>
        <v>202954</v>
      </c>
      <c r="H33" s="68">
        <f>176151+14769+12034</f>
        <v>202954</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5">
        <v>13006</v>
      </c>
      <c r="D41" s="11"/>
      <c r="E41" s="15" t="s">
        <v>9</v>
      </c>
      <c r="F41" s="27">
        <f>G41-C41-D41</f>
        <v>62069</v>
      </c>
      <c r="G41" s="17">
        <f>H41+I41</f>
        <v>75075</v>
      </c>
      <c r="H41" s="68"/>
      <c r="I41" s="68">
        <f>69075+6000</f>
        <v>75075</v>
      </c>
      <c r="J41" s="81">
        <v>3684</v>
      </c>
    </row>
    <row r="42" spans="2:10" ht="15.75" thickBot="1" x14ac:dyDescent="0.3">
      <c r="B42" s="9" t="s">
        <v>85</v>
      </c>
      <c r="C42" s="157"/>
      <c r="D42" s="11"/>
      <c r="E42" s="15" t="s">
        <v>9</v>
      </c>
      <c r="F42" s="27">
        <f>G42-C42-D42</f>
        <v>12500</v>
      </c>
      <c r="G42" s="17">
        <f>H42+I42</f>
        <v>12500</v>
      </c>
      <c r="H42" s="68"/>
      <c r="I42" s="68">
        <f>12500</f>
        <v>12500</v>
      </c>
      <c r="J42" s="81"/>
    </row>
    <row r="43" spans="2:10" ht="26.25" thickBot="1" x14ac:dyDescent="0.3">
      <c r="B43" s="9" t="s">
        <v>86</v>
      </c>
      <c r="C43" s="157"/>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6"/>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175</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813625</v>
      </c>
      <c r="D62" s="21">
        <f>D57+D52+D40+D35+D30+D26+D20+D15+D11+D8</f>
        <v>164956</v>
      </c>
      <c r="E62" s="43"/>
      <c r="F62" s="31">
        <f t="shared" si="22"/>
        <v>620645</v>
      </c>
      <c r="G62" s="44">
        <f>G57+G52+G40+G35+G30+G26+G20+G15+G11+G8</f>
        <v>1599226</v>
      </c>
      <c r="H62" s="21">
        <f>H57+H52+H40+H35+H30+H26+H20+H15+H11+H8</f>
        <v>1286783</v>
      </c>
      <c r="I62" s="45">
        <f>I57+I52+I40+I35+I30+I26+I20+I15+I11+I8</f>
        <v>312443</v>
      </c>
      <c r="J62" s="46">
        <f>J57+J52+J40+J35+J30+J26+J20+J15+J11+J8</f>
        <v>236909</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2" ht="36" customHeight="1" thickBot="1" x14ac:dyDescent="0.3">
      <c r="B65" s="7" t="s">
        <v>2</v>
      </c>
      <c r="C65" s="76" t="s">
        <v>105</v>
      </c>
      <c r="D65" s="34" t="s">
        <v>0</v>
      </c>
      <c r="E65" s="35" t="s">
        <v>48</v>
      </c>
      <c r="F65" s="36" t="s">
        <v>49</v>
      </c>
      <c r="G65" s="18" t="s">
        <v>59</v>
      </c>
      <c r="H65" s="160" t="s">
        <v>46</v>
      </c>
      <c r="I65" s="161"/>
      <c r="J65" s="161"/>
    </row>
    <row r="66" spans="2:12" ht="15.75" thickBot="1" x14ac:dyDescent="0.3">
      <c r="B66" s="8" t="s">
        <v>42</v>
      </c>
      <c r="C66" s="10">
        <f>SUM(C67:C70)</f>
        <v>660986</v>
      </c>
      <c r="D66" s="10">
        <f>SUM(D67:D70)</f>
        <v>42146</v>
      </c>
      <c r="E66" s="14"/>
      <c r="F66" s="10">
        <f>SUM(F67:F70)</f>
        <v>6855</v>
      </c>
      <c r="G66" s="86">
        <f>SUM(G67:G70)</f>
        <v>384815</v>
      </c>
      <c r="H66" s="162"/>
      <c r="I66" s="163"/>
      <c r="J66" s="163"/>
      <c r="L66" s="1">
        <v>384815</v>
      </c>
    </row>
    <row r="67" spans="2:12" ht="48.75" customHeight="1" thickBot="1" x14ac:dyDescent="0.3">
      <c r="B67" s="9" t="s">
        <v>95</v>
      </c>
      <c r="C67" s="11">
        <v>6462</v>
      </c>
      <c r="D67" s="11"/>
      <c r="E67" s="66" t="s">
        <v>50</v>
      </c>
      <c r="F67" s="27">
        <f>10000-390-1980-437-350-200</f>
        <v>6643</v>
      </c>
      <c r="G67" s="77">
        <f>C67+D67+F67</f>
        <v>13105</v>
      </c>
      <c r="H67" s="162"/>
      <c r="I67" s="163"/>
      <c r="J67" s="163"/>
      <c r="L67" s="1">
        <v>13105</v>
      </c>
    </row>
    <row r="68" spans="2:12" ht="53.25" customHeight="1" thickBot="1" x14ac:dyDescent="0.3">
      <c r="B68" s="9" t="s">
        <v>96</v>
      </c>
      <c r="C68" s="11">
        <v>54949</v>
      </c>
      <c r="D68" s="68">
        <f>315+22358+86+6037</f>
        <v>28796</v>
      </c>
      <c r="E68" s="66" t="s">
        <v>47</v>
      </c>
      <c r="F68" s="27"/>
      <c r="G68" s="77">
        <f>C68+D68+F68-F75</f>
        <v>76686</v>
      </c>
      <c r="H68" s="162"/>
      <c r="I68" s="163"/>
      <c r="J68" s="163"/>
      <c r="L68" s="1">
        <v>76686</v>
      </c>
    </row>
    <row r="69" spans="2:12" ht="51.75" customHeight="1" thickBot="1" x14ac:dyDescent="0.3">
      <c r="B69" s="9" t="s">
        <v>97</v>
      </c>
      <c r="C69" s="11">
        <f>(10000-648)</f>
        <v>9352</v>
      </c>
      <c r="D69" s="11"/>
      <c r="E69" s="66" t="s">
        <v>150</v>
      </c>
      <c r="F69" s="27"/>
      <c r="G69" s="77">
        <f>C69+D69+F69</f>
        <v>9352</v>
      </c>
      <c r="H69" s="164"/>
      <c r="I69" s="165"/>
      <c r="J69" s="165"/>
      <c r="L69" s="1">
        <v>9352</v>
      </c>
    </row>
    <row r="70" spans="2:12" ht="49.5" customHeight="1" thickBot="1" x14ac:dyDescent="0.3">
      <c r="B70" s="9" t="s">
        <v>107</v>
      </c>
      <c r="C70" s="11">
        <f>9464+25+47+116+174+111+250000+12000+1750+6627+4470+6433+1143+2601+1000+285092+153+4972+4045</f>
        <v>590223</v>
      </c>
      <c r="D70" s="68">
        <f>13350</f>
        <v>13350</v>
      </c>
      <c r="E70" s="66" t="s">
        <v>148</v>
      </c>
      <c r="F70" s="83">
        <f>G95</f>
        <v>212</v>
      </c>
      <c r="G70" s="77">
        <f>C70+D70+F70-F73-F74-F78-F79-F80-F81-F82-F83-F84-F85-F86</f>
        <v>285672</v>
      </c>
      <c r="H70" s="173" t="s">
        <v>149</v>
      </c>
      <c r="I70" s="174"/>
      <c r="J70" s="174"/>
      <c r="L70" s="1">
        <v>285672</v>
      </c>
    </row>
    <row r="71" spans="2:12" ht="51.75" customHeight="1" thickBot="1" x14ac:dyDescent="0.3">
      <c r="B71" s="70" t="s">
        <v>2</v>
      </c>
      <c r="C71" s="71" t="s">
        <v>3</v>
      </c>
      <c r="D71" s="71" t="s">
        <v>21</v>
      </c>
      <c r="E71" s="72" t="s">
        <v>22</v>
      </c>
      <c r="F71" s="73" t="s">
        <v>29</v>
      </c>
      <c r="G71" s="18" t="s">
        <v>23</v>
      </c>
      <c r="H71" s="175"/>
      <c r="I71" s="176"/>
      <c r="J71" s="176"/>
    </row>
    <row r="72" spans="2:12" ht="26.25" thickBot="1" x14ac:dyDescent="0.3">
      <c r="B72" s="8" t="s">
        <v>44</v>
      </c>
      <c r="C72" s="10">
        <f>SUM(C73:C76)</f>
        <v>0</v>
      </c>
      <c r="D72" s="10">
        <f>SUM(D73:D76)</f>
        <v>25000</v>
      </c>
      <c r="E72" s="14"/>
      <c r="F72" s="26">
        <f>SUM(F73:F76)</f>
        <v>312019</v>
      </c>
      <c r="G72" s="56">
        <f>SUM(C72+D72+F72)</f>
        <v>337019</v>
      </c>
      <c r="H72" s="158" t="s">
        <v>131</v>
      </c>
      <c r="I72" s="159"/>
      <c r="J72" s="159"/>
    </row>
    <row r="73" spans="2:12" ht="27" customHeight="1" thickBot="1" x14ac:dyDescent="0.3">
      <c r="B73" s="9" t="s">
        <v>98</v>
      </c>
      <c r="C73" s="11"/>
      <c r="D73" s="11"/>
      <c r="E73" s="66" t="s">
        <v>51</v>
      </c>
      <c r="F73" s="69">
        <f>250000+12000+1750+6627+4470+6433+1143+2601+1000+8000+313+172+114+129+500+914+1905+36+74+407+1536+400+300+91-20000+4045</f>
        <v>284960</v>
      </c>
      <c r="G73" s="17">
        <f t="shared" ref="G73:G75" si="24">SUM(C73+D73+F73)</f>
        <v>284960</v>
      </c>
      <c r="H73" s="129" t="s">
        <v>53</v>
      </c>
      <c r="I73" s="129" t="s">
        <v>64</v>
      </c>
      <c r="J73" s="129" t="s">
        <v>132</v>
      </c>
    </row>
    <row r="74" spans="2:12" ht="26.25" thickBot="1" x14ac:dyDescent="0.3">
      <c r="B74" s="9" t="s">
        <v>106</v>
      </c>
      <c r="C74" s="11"/>
      <c r="D74" s="11"/>
      <c r="E74" s="66" t="s">
        <v>51</v>
      </c>
      <c r="F74" s="69">
        <v>20000</v>
      </c>
      <c r="G74" s="77">
        <f t="shared" si="24"/>
        <v>20000</v>
      </c>
      <c r="H74" s="130"/>
      <c r="I74" s="130"/>
      <c r="J74" s="130"/>
    </row>
    <row r="75" spans="2:12" ht="38.25" customHeight="1" thickBot="1" x14ac:dyDescent="0.3">
      <c r="B75" s="9" t="s">
        <v>99</v>
      </c>
      <c r="C75" s="11"/>
      <c r="D75" s="11"/>
      <c r="E75" s="66" t="s">
        <v>152</v>
      </c>
      <c r="F75" s="69">
        <f>328+5992+739</f>
        <v>7059</v>
      </c>
      <c r="G75" s="77">
        <f t="shared" si="24"/>
        <v>7059</v>
      </c>
      <c r="H75" s="130"/>
      <c r="I75" s="130"/>
      <c r="J75" s="130"/>
    </row>
    <row r="76" spans="2:12" ht="26.25" thickBot="1" x14ac:dyDescent="0.3">
      <c r="B76" s="9" t="s">
        <v>100</v>
      </c>
      <c r="C76" s="11"/>
      <c r="D76" s="11">
        <v>25000</v>
      </c>
      <c r="E76" s="66" t="s">
        <v>176</v>
      </c>
      <c r="F76" s="69"/>
      <c r="G76" s="77">
        <f>SUM(C76+D76+F76)</f>
        <v>25000</v>
      </c>
      <c r="H76" s="131"/>
      <c r="I76" s="131"/>
      <c r="J76" s="131"/>
    </row>
    <row r="77" spans="2:12" ht="26.25" thickBot="1" x14ac:dyDescent="0.3">
      <c r="B77" s="8" t="s">
        <v>57</v>
      </c>
      <c r="C77" s="10">
        <f>SUM(C79:C86)</f>
        <v>0</v>
      </c>
      <c r="D77" s="10">
        <f>SUM(D79:D86)</f>
        <v>1519969</v>
      </c>
      <c r="E77" s="14"/>
      <c r="F77" s="10">
        <f>SUM(F78:F86)</f>
        <v>13153</v>
      </c>
      <c r="G77" s="56">
        <f>SUM(C77+D77+F77)</f>
        <v>1533122</v>
      </c>
      <c r="H77" s="62">
        <f>SUM(H79:H86)</f>
        <v>3390660</v>
      </c>
      <c r="I77" s="65">
        <f>SUM(I79:I86)</f>
        <v>417496</v>
      </c>
      <c r="J77" s="65">
        <f>SUM(J79:J86)</f>
        <v>5328523</v>
      </c>
    </row>
    <row r="78" spans="2:12" ht="46.35" customHeight="1" thickBot="1" x14ac:dyDescent="0.3">
      <c r="B78" s="9" t="s">
        <v>52</v>
      </c>
      <c r="C78" s="11"/>
      <c r="D78" s="11"/>
      <c r="E78" s="126" t="s">
        <v>151</v>
      </c>
      <c r="F78" s="27">
        <f>12474+281</f>
        <v>12755</v>
      </c>
      <c r="G78" s="17">
        <f t="shared" ref="G78:G86" si="25">C78+D78+F78</f>
        <v>12755</v>
      </c>
      <c r="H78" s="63"/>
      <c r="I78" s="63"/>
      <c r="J78" s="64">
        <f>SUM(G78:I78)</f>
        <v>12755</v>
      </c>
    </row>
    <row r="79" spans="2:12" ht="15" customHeight="1" thickBot="1" x14ac:dyDescent="0.3">
      <c r="B79" s="9" t="s">
        <v>157</v>
      </c>
      <c r="C79" s="11"/>
      <c r="D79" s="11"/>
      <c r="E79" s="127"/>
      <c r="F79" s="27"/>
      <c r="G79" s="17">
        <f t="shared" si="25"/>
        <v>0</v>
      </c>
      <c r="H79" s="63"/>
      <c r="I79" s="63"/>
      <c r="J79" s="64">
        <f>SUM(G79:I79)</f>
        <v>0</v>
      </c>
    </row>
    <row r="80" spans="2:12" ht="15.75" thickBot="1" x14ac:dyDescent="0.3">
      <c r="B80" s="9" t="s">
        <v>26</v>
      </c>
      <c r="C80" s="68"/>
      <c r="D80" s="11">
        <v>43295</v>
      </c>
      <c r="E80" s="127"/>
      <c r="F80" s="27">
        <v>210</v>
      </c>
      <c r="G80" s="77">
        <f t="shared" si="25"/>
        <v>43505</v>
      </c>
      <c r="H80" s="63"/>
      <c r="I80" s="63">
        <v>206705</v>
      </c>
      <c r="J80" s="64">
        <f t="shared" ref="J80:J86" si="26">SUM(G80:I80)</f>
        <v>250210</v>
      </c>
    </row>
    <row r="81" spans="2:12" ht="15.75" thickBot="1" x14ac:dyDescent="0.3">
      <c r="B81" s="9" t="s">
        <v>25</v>
      </c>
      <c r="C81" s="68"/>
      <c r="D81" s="11">
        <v>14074</v>
      </c>
      <c r="E81" s="127"/>
      <c r="F81" s="27"/>
      <c r="G81" s="77">
        <f t="shared" si="25"/>
        <v>14074</v>
      </c>
      <c r="H81" s="63">
        <v>789765</v>
      </c>
      <c r="I81" s="63">
        <v>35961</v>
      </c>
      <c r="J81" s="64">
        <f t="shared" si="26"/>
        <v>839800</v>
      </c>
    </row>
    <row r="82" spans="2:12" ht="15.75" thickBot="1" x14ac:dyDescent="0.3">
      <c r="B82" s="9" t="s">
        <v>62</v>
      </c>
      <c r="C82" s="11"/>
      <c r="D82" s="11"/>
      <c r="E82" s="127"/>
      <c r="F82" s="27"/>
      <c r="G82" s="77">
        <f t="shared" si="25"/>
        <v>0</v>
      </c>
      <c r="H82" s="63"/>
      <c r="I82" s="63"/>
      <c r="J82" s="64">
        <f t="shared" si="26"/>
        <v>0</v>
      </c>
    </row>
    <row r="83" spans="2:12" ht="26.25" thickBot="1" x14ac:dyDescent="0.3">
      <c r="B83" s="9" t="s">
        <v>165</v>
      </c>
      <c r="C83" s="11"/>
      <c r="D83" s="11">
        <v>78662</v>
      </c>
      <c r="E83" s="127"/>
      <c r="F83" s="27"/>
      <c r="G83" s="77">
        <f t="shared" si="25"/>
        <v>78662</v>
      </c>
      <c r="H83" s="63"/>
      <c r="I83" s="63"/>
      <c r="J83" s="64">
        <f t="shared" si="26"/>
        <v>78662</v>
      </c>
    </row>
    <row r="84" spans="2:12" ht="15.75" thickBot="1" x14ac:dyDescent="0.3">
      <c r="B84" s="9" t="s">
        <v>61</v>
      </c>
      <c r="C84" s="11"/>
      <c r="D84" s="11"/>
      <c r="E84" s="127"/>
      <c r="F84" s="27"/>
      <c r="G84" s="77">
        <f t="shared" si="25"/>
        <v>0</v>
      </c>
      <c r="H84" s="63"/>
      <c r="I84" s="63"/>
      <c r="J84" s="64">
        <f t="shared" si="26"/>
        <v>0</v>
      </c>
    </row>
    <row r="85" spans="2:12" ht="15.75" thickBot="1" x14ac:dyDescent="0.3">
      <c r="B85" s="9" t="s">
        <v>27</v>
      </c>
      <c r="C85" s="11"/>
      <c r="D85" s="11">
        <v>1383938</v>
      </c>
      <c r="E85" s="127"/>
      <c r="F85" s="27">
        <v>188</v>
      </c>
      <c r="G85" s="17">
        <f t="shared" si="25"/>
        <v>1384126</v>
      </c>
      <c r="H85" s="63">
        <v>2600895</v>
      </c>
      <c r="I85" s="63">
        <v>174830</v>
      </c>
      <c r="J85" s="64">
        <f t="shared" si="26"/>
        <v>4159851</v>
      </c>
    </row>
    <row r="86" spans="2:12" ht="15.75" thickBot="1" x14ac:dyDescent="0.3">
      <c r="B86" s="9" t="s">
        <v>135</v>
      </c>
      <c r="C86" s="11"/>
      <c r="D86" s="11"/>
      <c r="E86" s="128"/>
      <c r="F86" s="27"/>
      <c r="G86" s="17">
        <f t="shared" si="25"/>
        <v>0</v>
      </c>
      <c r="H86" s="63"/>
      <c r="I86" s="63"/>
      <c r="J86" s="64">
        <f t="shared" si="26"/>
        <v>0</v>
      </c>
    </row>
    <row r="87" spans="2:12" ht="30.75" customHeight="1" thickBot="1" x14ac:dyDescent="0.3">
      <c r="B87" s="181" t="s">
        <v>43</v>
      </c>
      <c r="C87" s="139" t="s">
        <v>56</v>
      </c>
      <c r="D87" s="139"/>
      <c r="E87" s="139"/>
      <c r="F87" s="139"/>
      <c r="G87" s="40">
        <f>G62</f>
        <v>1599226</v>
      </c>
      <c r="H87" s="193">
        <f>SUM(G87:G90)</f>
        <v>3854182</v>
      </c>
      <c r="I87" s="195" t="s">
        <v>141</v>
      </c>
      <c r="J87" s="195"/>
    </row>
    <row r="88" spans="2:12" ht="42.75" customHeight="1" thickBot="1" x14ac:dyDescent="0.3">
      <c r="B88" s="192"/>
      <c r="C88" s="139" t="s">
        <v>104</v>
      </c>
      <c r="D88" s="139"/>
      <c r="E88" s="139"/>
      <c r="F88" s="152"/>
      <c r="G88" s="40">
        <f>G66</f>
        <v>384815</v>
      </c>
      <c r="H88" s="194"/>
      <c r="I88" s="196"/>
      <c r="J88" s="196"/>
      <c r="L88" s="1">
        <v>3854182</v>
      </c>
    </row>
    <row r="89" spans="2:12" ht="30" customHeight="1" thickBot="1" x14ac:dyDescent="0.3">
      <c r="B89" s="192"/>
      <c r="C89" s="139" t="s">
        <v>55</v>
      </c>
      <c r="D89" s="139"/>
      <c r="E89" s="139"/>
      <c r="F89" s="152"/>
      <c r="G89" s="40">
        <f>G72</f>
        <v>337019</v>
      </c>
      <c r="H89" s="194"/>
      <c r="I89" s="197"/>
      <c r="J89" s="197"/>
    </row>
    <row r="90" spans="2:12" ht="19.350000000000001" customHeight="1" thickBot="1" x14ac:dyDescent="0.3">
      <c r="B90" s="169"/>
      <c r="C90" s="139" t="s">
        <v>60</v>
      </c>
      <c r="D90" s="139"/>
      <c r="E90" s="139"/>
      <c r="F90" s="139"/>
      <c r="G90" s="42">
        <f>G77</f>
        <v>1533122</v>
      </c>
      <c r="H90" s="194"/>
      <c r="I90" s="198">
        <f>G95</f>
        <v>212</v>
      </c>
      <c r="J90" s="198"/>
    </row>
    <row r="91" spans="2:12" ht="10.35" customHeight="1" x14ac:dyDescent="0.25">
      <c r="B91" s="5"/>
      <c r="C91" s="13"/>
      <c r="D91" s="13"/>
      <c r="E91" s="13"/>
      <c r="F91" s="28"/>
      <c r="G91" s="16"/>
      <c r="H91" s="13"/>
      <c r="I91" s="13"/>
      <c r="J91" s="28"/>
    </row>
    <row r="92" spans="2:12" ht="9" customHeight="1" thickBot="1" x14ac:dyDescent="0.3">
      <c r="B92" s="5"/>
      <c r="C92" s="13"/>
      <c r="D92" s="13"/>
      <c r="E92" s="13"/>
      <c r="F92" s="28"/>
      <c r="G92" s="16"/>
      <c r="H92" s="13"/>
      <c r="I92" s="13"/>
      <c r="J92" s="28"/>
    </row>
    <row r="93" spans="2:12" ht="25.35" customHeight="1" thickBot="1" x14ac:dyDescent="0.3">
      <c r="B93" s="177" t="s">
        <v>174</v>
      </c>
      <c r="C93" s="177"/>
      <c r="D93" s="177"/>
      <c r="E93" s="177"/>
      <c r="F93" s="177"/>
      <c r="G93" s="177"/>
      <c r="H93" s="177"/>
      <c r="I93" s="177"/>
      <c r="J93" s="177"/>
    </row>
    <row r="94" spans="2:12" ht="45.75" thickBot="1" x14ac:dyDescent="0.3">
      <c r="B94" s="7" t="s">
        <v>32</v>
      </c>
      <c r="C94" s="38" t="s">
        <v>20</v>
      </c>
      <c r="D94" s="37" t="s">
        <v>58</v>
      </c>
      <c r="E94" s="37" t="s">
        <v>39</v>
      </c>
      <c r="F94" s="39" t="s">
        <v>37</v>
      </c>
      <c r="G94" s="39" t="s">
        <v>103</v>
      </c>
      <c r="H94" s="32"/>
      <c r="I94" s="32"/>
      <c r="J94" s="32"/>
    </row>
    <row r="95" spans="2:12" ht="48.75" thickBot="1" x14ac:dyDescent="0.3">
      <c r="B95" s="59" t="s">
        <v>108</v>
      </c>
      <c r="C95" s="12" t="s">
        <v>10</v>
      </c>
      <c r="D95" s="75">
        <f>85000</f>
        <v>85000</v>
      </c>
      <c r="E95" s="23">
        <f>F16+F17+F18+F19+F21+F22+F28+F29+F36+F37+F38+F39</f>
        <v>93602</v>
      </c>
      <c r="F95" s="19">
        <f>D95-E95</f>
        <v>-8602</v>
      </c>
      <c r="G95" s="140">
        <f>F95+F96+F99</f>
        <v>212</v>
      </c>
      <c r="H95" s="33"/>
      <c r="I95" s="33"/>
      <c r="J95" s="33"/>
    </row>
    <row r="96" spans="2:12" ht="25.5" customHeight="1" thickBot="1" x14ac:dyDescent="0.3">
      <c r="B96" s="22" t="s">
        <v>109</v>
      </c>
      <c r="C96" s="190" t="s">
        <v>170</v>
      </c>
      <c r="D96" s="68">
        <v>60000</v>
      </c>
      <c r="E96" s="190">
        <f>F9+F10+F12+F14+F23+F24+F25+F27+F31+F33+F34+F41+F42+F43+F44+F53+F54+F55+F56+F58+F59+F60+F61+F67+F69</f>
        <v>533686</v>
      </c>
      <c r="F96" s="190">
        <f>D96+D97+D98+D99+D100-E96</f>
        <v>8814</v>
      </c>
      <c r="G96" s="141"/>
      <c r="H96" s="33"/>
      <c r="I96" s="33"/>
      <c r="J96" s="33"/>
    </row>
    <row r="97" spans="2:10" ht="15.75" thickBot="1" x14ac:dyDescent="0.3">
      <c r="B97" s="22" t="s">
        <v>126</v>
      </c>
      <c r="C97" s="191"/>
      <c r="D97" s="68">
        <f>210000</f>
        <v>210000</v>
      </c>
      <c r="E97" s="191"/>
      <c r="F97" s="191"/>
      <c r="G97" s="141"/>
      <c r="H97" s="33"/>
      <c r="I97" s="33"/>
      <c r="J97" s="33"/>
    </row>
    <row r="98" spans="2:10" ht="15.75" thickBot="1" x14ac:dyDescent="0.3">
      <c r="B98" s="22" t="s">
        <v>125</v>
      </c>
      <c r="C98" s="191"/>
      <c r="D98" s="68">
        <f>267000</f>
        <v>267000</v>
      </c>
      <c r="E98" s="191"/>
      <c r="F98" s="191"/>
      <c r="G98" s="141"/>
      <c r="H98" s="33"/>
      <c r="I98" s="33"/>
      <c r="J98" s="33"/>
    </row>
    <row r="99" spans="2:10" ht="15.75" thickBot="1" x14ac:dyDescent="0.3">
      <c r="B99" s="22" t="s">
        <v>110</v>
      </c>
      <c r="C99" s="190" t="s">
        <v>19</v>
      </c>
      <c r="D99" s="11">
        <v>1500</v>
      </c>
      <c r="E99" s="191"/>
      <c r="F99" s="191"/>
      <c r="G99" s="141"/>
      <c r="H99" s="33"/>
      <c r="I99" s="33"/>
      <c r="J99" s="33"/>
    </row>
    <row r="100" spans="2:10" ht="15.75" thickBot="1" x14ac:dyDescent="0.3">
      <c r="B100" s="22" t="s">
        <v>31</v>
      </c>
      <c r="C100" s="191"/>
      <c r="D100" s="11">
        <v>4000</v>
      </c>
      <c r="E100" s="205"/>
      <c r="F100" s="205"/>
      <c r="G100" s="141"/>
      <c r="H100" s="33"/>
      <c r="I100" s="33"/>
      <c r="J100" s="33"/>
    </row>
    <row r="101" spans="2:10" ht="33.75" customHeight="1" thickBot="1" x14ac:dyDescent="0.3">
      <c r="B101" s="189" t="s">
        <v>63</v>
      </c>
      <c r="C101" s="189"/>
      <c r="D101" s="85">
        <f>SUM(D95:D100)</f>
        <v>627500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8" customHeight="1" thickBot="1" x14ac:dyDescent="0.3">
      <c r="B103" s="148" t="s">
        <v>111</v>
      </c>
      <c r="C103" s="148"/>
      <c r="D103" s="148"/>
      <c r="E103" s="57">
        <f>G8</f>
        <v>386006</v>
      </c>
      <c r="F103" s="199" t="s">
        <v>171</v>
      </c>
      <c r="G103" s="200"/>
      <c r="H103" s="200"/>
      <c r="I103" s="200"/>
      <c r="J103" s="200"/>
    </row>
    <row r="104" spans="2:10" ht="19.5" customHeight="1" thickBot="1" x14ac:dyDescent="0.3">
      <c r="B104" s="148" t="s">
        <v>112</v>
      </c>
      <c r="C104" s="148"/>
      <c r="D104" s="148"/>
      <c r="E104" s="57">
        <f>G11</f>
        <v>128696</v>
      </c>
      <c r="F104" s="201"/>
      <c r="G104" s="202"/>
      <c r="H104" s="202"/>
      <c r="I104" s="202"/>
      <c r="J104" s="202"/>
    </row>
    <row r="105" spans="2:10" ht="18.75" customHeight="1" thickBot="1" x14ac:dyDescent="0.3">
      <c r="B105" s="148" t="s">
        <v>113</v>
      </c>
      <c r="C105" s="148"/>
      <c r="D105" s="148"/>
      <c r="E105" s="57">
        <f>G15</f>
        <v>502251</v>
      </c>
      <c r="F105" s="201"/>
      <c r="G105" s="202"/>
      <c r="H105" s="202"/>
      <c r="I105" s="202"/>
      <c r="J105" s="202"/>
    </row>
    <row r="106" spans="2:10" ht="30" customHeight="1" thickBot="1" x14ac:dyDescent="0.3">
      <c r="B106" s="148" t="s">
        <v>114</v>
      </c>
      <c r="C106" s="148"/>
      <c r="D106" s="148"/>
      <c r="E106" s="57">
        <f>G20</f>
        <v>143087</v>
      </c>
      <c r="F106" s="201"/>
      <c r="G106" s="202"/>
      <c r="H106" s="202"/>
      <c r="I106" s="202"/>
      <c r="J106" s="202"/>
    </row>
    <row r="107" spans="2:10" ht="19.5" customHeight="1" thickBot="1" x14ac:dyDescent="0.3">
      <c r="B107" s="148" t="s">
        <v>115</v>
      </c>
      <c r="C107" s="148"/>
      <c r="D107" s="148"/>
      <c r="E107" s="57">
        <f>G26</f>
        <v>42616</v>
      </c>
      <c r="F107" s="203"/>
      <c r="G107" s="204"/>
      <c r="H107" s="204"/>
      <c r="I107" s="204"/>
      <c r="J107" s="204"/>
    </row>
    <row r="108" spans="2:10" ht="18" customHeight="1" thickBot="1" x14ac:dyDescent="0.3">
      <c r="B108" s="148" t="s">
        <v>116</v>
      </c>
      <c r="C108" s="148"/>
      <c r="D108" s="148"/>
      <c r="E108" s="57">
        <f>G30</f>
        <v>207294</v>
      </c>
      <c r="F108" s="132" t="s">
        <v>169</v>
      </c>
      <c r="G108" s="132"/>
      <c r="H108" s="132"/>
      <c r="I108" s="132"/>
      <c r="J108" s="132"/>
    </row>
    <row r="109" spans="2:10" ht="31.5" customHeight="1" thickBot="1" x14ac:dyDescent="0.3">
      <c r="B109" s="148" t="s">
        <v>117</v>
      </c>
      <c r="C109" s="148"/>
      <c r="D109" s="148"/>
      <c r="E109" s="57">
        <f>G35</f>
        <v>31548</v>
      </c>
      <c r="F109" s="151" t="s">
        <v>121</v>
      </c>
      <c r="G109" s="149"/>
      <c r="H109" s="149"/>
      <c r="I109" s="150">
        <f>E113</f>
        <v>1599226</v>
      </c>
      <c r="J109" s="150"/>
    </row>
    <row r="110" spans="2:10" ht="21" customHeight="1" thickBot="1" x14ac:dyDescent="0.3">
      <c r="B110" s="148" t="s">
        <v>118</v>
      </c>
      <c r="C110" s="148"/>
      <c r="D110" s="148"/>
      <c r="E110" s="57">
        <f>G40</f>
        <v>119048</v>
      </c>
      <c r="F110" s="149" t="s">
        <v>122</v>
      </c>
      <c r="G110" s="149"/>
      <c r="H110" s="149"/>
      <c r="I110" s="150">
        <f>G66</f>
        <v>384815</v>
      </c>
      <c r="J110" s="150"/>
    </row>
    <row r="111" spans="2:10" ht="30" customHeight="1" thickBot="1" x14ac:dyDescent="0.3">
      <c r="B111" s="148" t="s">
        <v>119</v>
      </c>
      <c r="C111" s="148"/>
      <c r="D111" s="148"/>
      <c r="E111" s="57">
        <f>G52</f>
        <v>28680</v>
      </c>
      <c r="F111" s="149" t="s">
        <v>123</v>
      </c>
      <c r="G111" s="149"/>
      <c r="H111" s="149"/>
      <c r="I111" s="150">
        <f>G72</f>
        <v>337019</v>
      </c>
      <c r="J111" s="150"/>
    </row>
    <row r="112" spans="2:10" ht="31.5" customHeight="1" thickBot="1" x14ac:dyDescent="0.3">
      <c r="B112" s="148" t="s">
        <v>120</v>
      </c>
      <c r="C112" s="148"/>
      <c r="D112" s="148"/>
      <c r="E112" s="57">
        <f>G57</f>
        <v>10000</v>
      </c>
      <c r="F112" s="149" t="s">
        <v>124</v>
      </c>
      <c r="G112" s="149"/>
      <c r="H112" s="149"/>
      <c r="I112" s="150">
        <f>G77</f>
        <v>1533122</v>
      </c>
      <c r="J112" s="150"/>
    </row>
    <row r="113" spans="2:10" ht="23.25" customHeight="1" thickBot="1" x14ac:dyDescent="0.3">
      <c r="B113" s="142" t="s">
        <v>30</v>
      </c>
      <c r="C113" s="142"/>
      <c r="D113" s="142"/>
      <c r="E113" s="58">
        <f>SUM(E103:E112)</f>
        <v>1599226</v>
      </c>
      <c r="F113" s="143" t="s">
        <v>54</v>
      </c>
      <c r="G113" s="143"/>
      <c r="H113" s="143"/>
      <c r="I113" s="144">
        <f>SUM(I109:J112)</f>
        <v>3854182</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L960"/>
  <sheetViews>
    <sheetView topLeftCell="A4"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8" t="s">
        <v>147</v>
      </c>
      <c r="C2" s="188"/>
      <c r="D2" s="188"/>
      <c r="E2" s="188"/>
      <c r="F2" s="188"/>
      <c r="G2" s="188"/>
      <c r="H2" s="188"/>
      <c r="I2" s="188"/>
      <c r="J2" s="188"/>
    </row>
    <row r="3" spans="2:12" ht="18.75" thickBot="1" x14ac:dyDescent="0.3">
      <c r="B3" s="177" t="s">
        <v>177</v>
      </c>
      <c r="C3" s="177"/>
      <c r="D3" s="177"/>
      <c r="E3" s="177"/>
      <c r="F3" s="177"/>
      <c r="G3" s="177"/>
      <c r="H3" s="177"/>
      <c r="I3" s="177"/>
      <c r="J3" s="177"/>
    </row>
    <row r="4" spans="2:12" x14ac:dyDescent="0.25">
      <c r="B4" s="178" t="s">
        <v>153</v>
      </c>
      <c r="C4" s="181" t="s">
        <v>24</v>
      </c>
      <c r="D4" s="181"/>
      <c r="E4" s="181"/>
      <c r="F4" s="181"/>
      <c r="G4" s="181"/>
      <c r="H4" s="181"/>
      <c r="I4" s="181"/>
      <c r="J4" s="24"/>
    </row>
    <row r="5" spans="2:12" x14ac:dyDescent="0.25">
      <c r="B5" s="179"/>
      <c r="C5" s="182"/>
      <c r="D5" s="182"/>
      <c r="E5" s="182"/>
      <c r="F5" s="182"/>
      <c r="G5" s="182"/>
      <c r="H5" s="182"/>
      <c r="I5" s="183" t="s">
        <v>5</v>
      </c>
      <c r="J5" s="183"/>
    </row>
    <row r="6" spans="2:12" ht="15.75" thickBot="1" x14ac:dyDescent="0.3">
      <c r="B6" s="180"/>
      <c r="C6" s="169" t="s">
        <v>7</v>
      </c>
      <c r="D6" s="169"/>
      <c r="E6" s="169"/>
      <c r="F6" s="169"/>
      <c r="G6" s="170" t="s">
        <v>8</v>
      </c>
      <c r="H6" s="170"/>
      <c r="I6" s="170"/>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151888</v>
      </c>
      <c r="D8" s="10">
        <f>SUM(D9:D10)</f>
        <v>37161</v>
      </c>
      <c r="E8" s="14" t="s">
        <v>167</v>
      </c>
      <c r="F8" s="26">
        <f>G8-C8-D8</f>
        <v>204243</v>
      </c>
      <c r="G8" s="56">
        <f t="shared" ref="G8:G19" si="0">H8+I8</f>
        <v>393292</v>
      </c>
      <c r="H8" s="10">
        <f>SUM(H9:H10)</f>
        <v>384857</v>
      </c>
      <c r="I8" s="10">
        <f t="shared" ref="I8:J8" si="1">SUM(I9:I10)</f>
        <v>8435</v>
      </c>
      <c r="J8" s="79">
        <f t="shared" si="1"/>
        <v>0</v>
      </c>
    </row>
    <row r="9" spans="2:12" ht="15.75" thickBot="1" x14ac:dyDescent="0.3">
      <c r="B9" s="9" t="s">
        <v>66</v>
      </c>
      <c r="C9" s="68">
        <f>147463-1+1080+3346</f>
        <v>151888</v>
      </c>
      <c r="D9" s="68">
        <f>7000+1287+2500+3243+1508+236+74+500+467</f>
        <v>16815</v>
      </c>
      <c r="E9" s="15" t="s">
        <v>9</v>
      </c>
      <c r="F9" s="27">
        <f>G9-C9-D9</f>
        <v>144079</v>
      </c>
      <c r="G9" s="77">
        <f t="shared" si="0"/>
        <v>312782</v>
      </c>
      <c r="H9" s="68">
        <f>288448+3243+4000+1508+236+74+500+413+54+1350+175+3346+1000</f>
        <v>304347</v>
      </c>
      <c r="I9" s="68">
        <v>8435</v>
      </c>
      <c r="J9" s="80"/>
      <c r="L9" s="1">
        <v>312782</v>
      </c>
    </row>
    <row r="10" spans="2:12" ht="15.75" thickBot="1" x14ac:dyDescent="0.3">
      <c r="B10" s="9" t="s">
        <v>67</v>
      </c>
      <c r="C10" s="11"/>
      <c r="D10" s="68">
        <f>2500+17689+157</f>
        <v>20346</v>
      </c>
      <c r="E10" s="15" t="s">
        <v>9</v>
      </c>
      <c r="F10" s="27">
        <f>G10-C10-D10</f>
        <v>60164</v>
      </c>
      <c r="G10" s="17">
        <f t="shared" si="0"/>
        <v>80510</v>
      </c>
      <c r="H10" s="68">
        <f>69682+9243+437+200+880+68</f>
        <v>80510</v>
      </c>
      <c r="I10" s="68"/>
      <c r="J10" s="80"/>
    </row>
    <row r="11" spans="2:12"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2"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2" ht="43.5" customHeight="1" thickBot="1" x14ac:dyDescent="0.3">
      <c r="B13" s="9" t="s">
        <v>102</v>
      </c>
      <c r="C13" s="11"/>
      <c r="D13" s="68">
        <f>18298+18569-700-896-86-6037+2407</f>
        <v>31555</v>
      </c>
      <c r="E13" s="186" t="s">
        <v>138</v>
      </c>
      <c r="F13" s="187"/>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194738</v>
      </c>
      <c r="D30" s="10">
        <f>SUM(D31:D34)</f>
        <v>0</v>
      </c>
      <c r="E30" s="14" t="s">
        <v>9</v>
      </c>
      <c r="F30" s="26">
        <f>G30-C30-D30</f>
        <v>19069</v>
      </c>
      <c r="G30" s="56">
        <f>H30+I30</f>
        <v>213807</v>
      </c>
      <c r="H30" s="10">
        <f>SUM(H31:H34)</f>
        <v>213807</v>
      </c>
      <c r="I30" s="10">
        <f>SUM(I31:I34)</f>
        <v>0</v>
      </c>
      <c r="J30" s="79">
        <f>SUM(J31:J34)</f>
        <v>11490</v>
      </c>
    </row>
    <row r="31" spans="2:10" ht="26.25" thickBot="1" x14ac:dyDescent="0.3">
      <c r="B31" s="9" t="s">
        <v>133</v>
      </c>
      <c r="C31" s="155"/>
      <c r="D31" s="11"/>
      <c r="E31" s="15" t="s">
        <v>9</v>
      </c>
      <c r="F31" s="171">
        <f>(G31+G32)-C31</f>
        <v>4300</v>
      </c>
      <c r="G31" s="17">
        <f>H31+I31</f>
        <v>4300</v>
      </c>
      <c r="H31" s="68">
        <v>4300</v>
      </c>
      <c r="I31" s="11"/>
      <c r="J31" s="80"/>
    </row>
    <row r="32" spans="2:10" ht="39" thickBot="1" x14ac:dyDescent="0.3">
      <c r="B32" s="9" t="s">
        <v>79</v>
      </c>
      <c r="C32" s="156"/>
      <c r="D32" s="11"/>
      <c r="E32" s="15" t="s">
        <v>9</v>
      </c>
      <c r="F32" s="172"/>
      <c r="G32" s="17">
        <f t="shared" ref="G32" si="9">H32+I32</f>
        <v>0</v>
      </c>
      <c r="H32" s="87"/>
      <c r="I32" s="11"/>
      <c r="J32" s="80"/>
    </row>
    <row r="33" spans="2:10" ht="56.25" customHeight="1" thickBot="1" x14ac:dyDescent="0.3">
      <c r="B33" s="9" t="s">
        <v>128</v>
      </c>
      <c r="C33" s="68">
        <f>176151+12034+6513</f>
        <v>194698</v>
      </c>
      <c r="D33" s="11"/>
      <c r="E33" s="15" t="s">
        <v>9</v>
      </c>
      <c r="F33" s="27">
        <f>G33-C33-D33</f>
        <v>14769</v>
      </c>
      <c r="G33" s="17">
        <f>H33+I33</f>
        <v>209467</v>
      </c>
      <c r="H33" s="68">
        <f>176151+14769+12034+6513</f>
        <v>209467</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5">
        <v>13006</v>
      </c>
      <c r="D41" s="11"/>
      <c r="E41" s="15" t="s">
        <v>9</v>
      </c>
      <c r="F41" s="27">
        <f>G41-C41-D41</f>
        <v>62069</v>
      </c>
      <c r="G41" s="17">
        <f>H41+I41</f>
        <v>75075</v>
      </c>
      <c r="H41" s="68"/>
      <c r="I41" s="68">
        <f>69075+6000</f>
        <v>75075</v>
      </c>
      <c r="J41" s="81">
        <v>3684</v>
      </c>
    </row>
    <row r="42" spans="2:10" ht="15.75" thickBot="1" x14ac:dyDescent="0.3">
      <c r="B42" s="9" t="s">
        <v>85</v>
      </c>
      <c r="C42" s="157"/>
      <c r="D42" s="11"/>
      <c r="E42" s="15" t="s">
        <v>9</v>
      </c>
      <c r="F42" s="27">
        <f>G42-C42-D42</f>
        <v>12500</v>
      </c>
      <c r="G42" s="17">
        <f>H42+I42</f>
        <v>12500</v>
      </c>
      <c r="H42" s="68"/>
      <c r="I42" s="68">
        <f>12500</f>
        <v>12500</v>
      </c>
      <c r="J42" s="81"/>
    </row>
    <row r="43" spans="2:10" ht="26.25" thickBot="1" x14ac:dyDescent="0.3">
      <c r="B43" s="9" t="s">
        <v>86</v>
      </c>
      <c r="C43" s="157"/>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6"/>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7" t="s">
        <v>177</v>
      </c>
      <c r="C47" s="177"/>
      <c r="D47" s="177"/>
      <c r="E47" s="177"/>
      <c r="F47" s="177"/>
      <c r="G47" s="177"/>
      <c r="H47" s="177"/>
      <c r="I47" s="177"/>
      <c r="J47" s="177"/>
    </row>
    <row r="48" spans="2:10" ht="15" customHeight="1" x14ac:dyDescent="0.25">
      <c r="B48" s="178" t="s">
        <v>153</v>
      </c>
      <c r="C48" s="181" t="s">
        <v>24</v>
      </c>
      <c r="D48" s="181"/>
      <c r="E48" s="181"/>
      <c r="F48" s="181"/>
      <c r="G48" s="181"/>
      <c r="H48" s="181"/>
      <c r="I48" s="181"/>
      <c r="J48" s="24"/>
    </row>
    <row r="49" spans="2:10" x14ac:dyDescent="0.25">
      <c r="B49" s="179"/>
      <c r="C49" s="182"/>
      <c r="D49" s="182"/>
      <c r="E49" s="182"/>
      <c r="F49" s="182"/>
      <c r="G49" s="182"/>
      <c r="H49" s="182"/>
      <c r="I49" s="183" t="s">
        <v>5</v>
      </c>
      <c r="J49" s="183"/>
    </row>
    <row r="50" spans="2:10" ht="15.75" thickBot="1" x14ac:dyDescent="0.3">
      <c r="B50" s="180"/>
      <c r="C50" s="169" t="s">
        <v>7</v>
      </c>
      <c r="D50" s="169"/>
      <c r="E50" s="169"/>
      <c r="F50" s="169"/>
      <c r="G50" s="170" t="s">
        <v>8</v>
      </c>
      <c r="H50" s="170"/>
      <c r="I50" s="170"/>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823484</v>
      </c>
      <c r="D62" s="21">
        <f>D57+D52+D40+D35+D30+D26+D20+D15+D11+D8</f>
        <v>165423</v>
      </c>
      <c r="E62" s="43"/>
      <c r="F62" s="31">
        <f t="shared" si="22"/>
        <v>624118</v>
      </c>
      <c r="G62" s="44">
        <f>G57+G52+G40+G35+G30+G26+G20+G15+G11+G8</f>
        <v>1613025</v>
      </c>
      <c r="H62" s="21">
        <f>H57+H52+H40+H35+H30+H26+H20+H15+H11+H8</f>
        <v>1300582</v>
      </c>
      <c r="I62" s="45">
        <f>I57+I52+I40+I35+I30+I26+I20+I15+I11+I8</f>
        <v>312443</v>
      </c>
      <c r="J62" s="46">
        <f>J57+J52+J40+J35+J30+J26+J20+J15+J11+J8</f>
        <v>236909</v>
      </c>
    </row>
    <row r="63" spans="2:10" ht="26.1" customHeight="1" thickBot="1" x14ac:dyDescent="0.3">
      <c r="B63" s="142" t="s">
        <v>136</v>
      </c>
      <c r="C63" s="142"/>
      <c r="D63" s="142"/>
      <c r="E63" s="142"/>
      <c r="F63" s="166"/>
      <c r="G63" s="74">
        <f>G62-C62-D62-F62</f>
        <v>0</v>
      </c>
      <c r="H63" s="167"/>
      <c r="I63" s="168"/>
      <c r="J63" s="168"/>
    </row>
    <row r="64" spans="2:10" ht="16.350000000000001" customHeight="1" thickBot="1" x14ac:dyDescent="0.3">
      <c r="B64" s="20" t="s">
        <v>34</v>
      </c>
      <c r="C64" s="184" t="s">
        <v>1</v>
      </c>
      <c r="D64" s="184"/>
      <c r="E64" s="184"/>
      <c r="F64" s="185"/>
      <c r="G64" s="147" t="s">
        <v>45</v>
      </c>
      <c r="H64" s="147"/>
      <c r="I64" s="147"/>
      <c r="J64" s="147"/>
    </row>
    <row r="65" spans="2:12" ht="36" customHeight="1" thickBot="1" x14ac:dyDescent="0.3">
      <c r="B65" s="7" t="s">
        <v>2</v>
      </c>
      <c r="C65" s="76" t="s">
        <v>105</v>
      </c>
      <c r="D65" s="34" t="s">
        <v>0</v>
      </c>
      <c r="E65" s="35" t="s">
        <v>48</v>
      </c>
      <c r="F65" s="36" t="s">
        <v>49</v>
      </c>
      <c r="G65" s="18" t="s">
        <v>59</v>
      </c>
      <c r="H65" s="160" t="s">
        <v>46</v>
      </c>
      <c r="I65" s="161"/>
      <c r="J65" s="161"/>
    </row>
    <row r="66" spans="2:12" ht="15.75" thickBot="1" x14ac:dyDescent="0.3">
      <c r="B66" s="8" t="s">
        <v>42</v>
      </c>
      <c r="C66" s="10">
        <f>SUM(C67:C70)</f>
        <v>662008</v>
      </c>
      <c r="D66" s="10">
        <f>SUM(D67:D70)</f>
        <v>42146</v>
      </c>
      <c r="E66" s="14"/>
      <c r="F66" s="10">
        <f>SUM(F67:F70)</f>
        <v>3382</v>
      </c>
      <c r="G66" s="86">
        <f>SUM(G67:G70)</f>
        <v>316744</v>
      </c>
      <c r="H66" s="162"/>
      <c r="I66" s="163"/>
      <c r="J66" s="163"/>
      <c r="L66" s="1">
        <v>316744</v>
      </c>
    </row>
    <row r="67" spans="2:12" ht="48.75" customHeight="1" thickBot="1" x14ac:dyDescent="0.3">
      <c r="B67" s="9" t="s">
        <v>95</v>
      </c>
      <c r="C67" s="11">
        <v>6462</v>
      </c>
      <c r="D67" s="11"/>
      <c r="E67" s="66" t="s">
        <v>50</v>
      </c>
      <c r="F67" s="27">
        <f>10000-390-1980-437-350-200-880-1000-1525-68</f>
        <v>3170</v>
      </c>
      <c r="G67" s="77">
        <f>C67+D67+F67</f>
        <v>9632</v>
      </c>
      <c r="H67" s="162"/>
      <c r="I67" s="163"/>
      <c r="J67" s="163"/>
      <c r="L67" s="1">
        <v>9632</v>
      </c>
    </row>
    <row r="68" spans="2:12" ht="53.25" customHeight="1" thickBot="1" x14ac:dyDescent="0.3">
      <c r="B68" s="9" t="s">
        <v>96</v>
      </c>
      <c r="C68" s="11">
        <v>54949</v>
      </c>
      <c r="D68" s="68">
        <f>315+22358+86+6037</f>
        <v>28796</v>
      </c>
      <c r="E68" s="66" t="s">
        <v>47</v>
      </c>
      <c r="F68" s="27"/>
      <c r="G68" s="77">
        <f>C68+D68+F68-F75</f>
        <v>76686</v>
      </c>
      <c r="H68" s="162"/>
      <c r="I68" s="163"/>
      <c r="J68" s="163"/>
      <c r="L68" s="1">
        <v>76686</v>
      </c>
    </row>
    <row r="69" spans="2:12" ht="51.75" customHeight="1" thickBot="1" x14ac:dyDescent="0.3">
      <c r="B69" s="9" t="s">
        <v>97</v>
      </c>
      <c r="C69" s="11">
        <f>(10000-648)</f>
        <v>9352</v>
      </c>
      <c r="D69" s="11"/>
      <c r="E69" s="66" t="s">
        <v>150</v>
      </c>
      <c r="F69" s="27"/>
      <c r="G69" s="77">
        <f>C69+D69+F69</f>
        <v>9352</v>
      </c>
      <c r="H69" s="164"/>
      <c r="I69" s="165"/>
      <c r="J69" s="165"/>
      <c r="L69" s="1">
        <v>9352</v>
      </c>
    </row>
    <row r="70" spans="2:12" ht="49.5" customHeight="1" thickBot="1" x14ac:dyDescent="0.3">
      <c r="B70" s="9" t="s">
        <v>107</v>
      </c>
      <c r="C70" s="11">
        <f>9464+25+47+116+174+111+250000+12000+1750+6627+4470+6433+1143+2601+1000+285092+153+4972+4045+1022</f>
        <v>591245</v>
      </c>
      <c r="D70" s="68">
        <f>13350</f>
        <v>13350</v>
      </c>
      <c r="E70" s="66" t="s">
        <v>148</v>
      </c>
      <c r="F70" s="83">
        <f>G95</f>
        <v>212</v>
      </c>
      <c r="G70" s="77">
        <f>C70+D70+F70-F73-F74-F78-F79-F80-F81-F82-F83-F84-F85-F86</f>
        <v>221074</v>
      </c>
      <c r="H70" s="173" t="s">
        <v>149</v>
      </c>
      <c r="I70" s="174"/>
      <c r="J70" s="174"/>
      <c r="L70" s="1">
        <v>221074</v>
      </c>
    </row>
    <row r="71" spans="2:12" ht="51.75" customHeight="1" thickBot="1" x14ac:dyDescent="0.3">
      <c r="B71" s="70" t="s">
        <v>2</v>
      </c>
      <c r="C71" s="71" t="s">
        <v>3</v>
      </c>
      <c r="D71" s="71" t="s">
        <v>21</v>
      </c>
      <c r="E71" s="72" t="s">
        <v>22</v>
      </c>
      <c r="F71" s="73" t="s">
        <v>29</v>
      </c>
      <c r="G71" s="18" t="s">
        <v>23</v>
      </c>
      <c r="H71" s="175"/>
      <c r="I71" s="176"/>
      <c r="J71" s="176"/>
    </row>
    <row r="72" spans="2:12" ht="26.25" thickBot="1" x14ac:dyDescent="0.3">
      <c r="B72" s="8" t="s">
        <v>44</v>
      </c>
      <c r="C72" s="10">
        <f>SUM(C73:C76)</f>
        <v>0</v>
      </c>
      <c r="D72" s="10">
        <f>SUM(D73:D76)</f>
        <v>25000</v>
      </c>
      <c r="E72" s="14"/>
      <c r="F72" s="26">
        <f>SUM(F73:F76)</f>
        <v>366586</v>
      </c>
      <c r="G72" s="56">
        <f>SUM(C72+D72+F72)</f>
        <v>391586</v>
      </c>
      <c r="H72" s="158" t="s">
        <v>131</v>
      </c>
      <c r="I72" s="159"/>
      <c r="J72" s="159"/>
    </row>
    <row r="73" spans="2:12" ht="27" customHeight="1" thickBot="1" x14ac:dyDescent="0.3">
      <c r="B73" s="9" t="s">
        <v>98</v>
      </c>
      <c r="C73" s="11"/>
      <c r="D73" s="11"/>
      <c r="E73" s="66" t="s">
        <v>51</v>
      </c>
      <c r="F73" s="69">
        <f>250000+12000+1750+6627+4470+6433+1143+2601+1000+8000+313+172+114+129+500+914+1905+36+74+407+1536+400+300+91-20000+4045+15819+229+133+200-64+38250</f>
        <v>339527</v>
      </c>
      <c r="G73" s="17">
        <f t="shared" ref="G73:G75" si="24">SUM(C73+D73+F73)</f>
        <v>339527</v>
      </c>
      <c r="H73" s="129" t="s">
        <v>53</v>
      </c>
      <c r="I73" s="129" t="s">
        <v>64</v>
      </c>
      <c r="J73" s="129" t="s">
        <v>132</v>
      </c>
    </row>
    <row r="74" spans="2:12" ht="26.25" thickBot="1" x14ac:dyDescent="0.3">
      <c r="B74" s="9" t="s">
        <v>106</v>
      </c>
      <c r="C74" s="11"/>
      <c r="D74" s="11"/>
      <c r="E74" s="66" t="s">
        <v>51</v>
      </c>
      <c r="F74" s="69">
        <v>20000</v>
      </c>
      <c r="G74" s="77">
        <f t="shared" si="24"/>
        <v>20000</v>
      </c>
      <c r="H74" s="130"/>
      <c r="I74" s="130"/>
      <c r="J74" s="130"/>
    </row>
    <row r="75" spans="2:12" ht="38.25" customHeight="1" thickBot="1" x14ac:dyDescent="0.3">
      <c r="B75" s="9" t="s">
        <v>99</v>
      </c>
      <c r="C75" s="11"/>
      <c r="D75" s="11"/>
      <c r="E75" s="66" t="s">
        <v>152</v>
      </c>
      <c r="F75" s="69">
        <f>328+5992+739</f>
        <v>7059</v>
      </c>
      <c r="G75" s="77">
        <f t="shared" si="24"/>
        <v>7059</v>
      </c>
      <c r="H75" s="130"/>
      <c r="I75" s="130"/>
      <c r="J75" s="130"/>
    </row>
    <row r="76" spans="2:12" ht="26.25" thickBot="1" x14ac:dyDescent="0.3">
      <c r="B76" s="9" t="s">
        <v>100</v>
      </c>
      <c r="C76" s="11"/>
      <c r="D76" s="11">
        <v>25000</v>
      </c>
      <c r="E76" s="66" t="s">
        <v>176</v>
      </c>
      <c r="F76" s="69"/>
      <c r="G76" s="77">
        <f>SUM(C76+D76+F76)</f>
        <v>25000</v>
      </c>
      <c r="H76" s="131"/>
      <c r="I76" s="131"/>
      <c r="J76" s="131"/>
    </row>
    <row r="77" spans="2:12" ht="26.25" thickBot="1" x14ac:dyDescent="0.3">
      <c r="B77" s="8" t="s">
        <v>57</v>
      </c>
      <c r="C77" s="10">
        <f>SUM(C79:C86)</f>
        <v>0</v>
      </c>
      <c r="D77" s="10">
        <f>SUM(D79:D86)</f>
        <v>1519969</v>
      </c>
      <c r="E77" s="14"/>
      <c r="F77" s="10">
        <f>SUM(F78:F86)</f>
        <v>24206</v>
      </c>
      <c r="G77" s="56">
        <f>SUM(C77+D77+F77)</f>
        <v>1544175</v>
      </c>
      <c r="H77" s="62">
        <f>SUM(H79:H86)</f>
        <v>3390660</v>
      </c>
      <c r="I77" s="65">
        <f>SUM(I79:I86)</f>
        <v>417496</v>
      </c>
      <c r="J77" s="65">
        <f>SUM(J79:J86)</f>
        <v>5328523</v>
      </c>
    </row>
    <row r="78" spans="2:12" ht="46.35" customHeight="1" thickBot="1" x14ac:dyDescent="0.3">
      <c r="B78" s="9" t="s">
        <v>52</v>
      </c>
      <c r="C78" s="11"/>
      <c r="D78" s="11"/>
      <c r="E78" s="126" t="s">
        <v>151</v>
      </c>
      <c r="F78" s="27">
        <f>12474+281+9856+1197</f>
        <v>23808</v>
      </c>
      <c r="G78" s="17">
        <f t="shared" ref="G78:G86" si="25">C78+D78+F78</f>
        <v>23808</v>
      </c>
      <c r="H78" s="63"/>
      <c r="I78" s="63"/>
      <c r="J78" s="64">
        <f>SUM(G78:I78)</f>
        <v>23808</v>
      </c>
    </row>
    <row r="79" spans="2:12" ht="15" customHeight="1" thickBot="1" x14ac:dyDescent="0.3">
      <c r="B79" s="9" t="s">
        <v>157</v>
      </c>
      <c r="C79" s="11"/>
      <c r="D79" s="11"/>
      <c r="E79" s="127"/>
      <c r="F79" s="27"/>
      <c r="G79" s="17">
        <f t="shared" si="25"/>
        <v>0</v>
      </c>
      <c r="H79" s="63"/>
      <c r="I79" s="63"/>
      <c r="J79" s="64">
        <f>SUM(G79:I79)</f>
        <v>0</v>
      </c>
    </row>
    <row r="80" spans="2:12" ht="15.75" thickBot="1" x14ac:dyDescent="0.3">
      <c r="B80" s="9" t="s">
        <v>26</v>
      </c>
      <c r="C80" s="68"/>
      <c r="D80" s="11">
        <v>43295</v>
      </c>
      <c r="E80" s="127"/>
      <c r="F80" s="27">
        <v>210</v>
      </c>
      <c r="G80" s="77">
        <f t="shared" si="25"/>
        <v>43505</v>
      </c>
      <c r="H80" s="63"/>
      <c r="I80" s="63">
        <v>206705</v>
      </c>
      <c r="J80" s="64">
        <f t="shared" ref="J80:J86" si="26">SUM(G80:I80)</f>
        <v>250210</v>
      </c>
    </row>
    <row r="81" spans="2:12" ht="15.75" thickBot="1" x14ac:dyDescent="0.3">
      <c r="B81" s="9" t="s">
        <v>25</v>
      </c>
      <c r="C81" s="68"/>
      <c r="D81" s="11">
        <v>14074</v>
      </c>
      <c r="E81" s="127"/>
      <c r="F81" s="27"/>
      <c r="G81" s="77">
        <f t="shared" si="25"/>
        <v>14074</v>
      </c>
      <c r="H81" s="63">
        <v>789765</v>
      </c>
      <c r="I81" s="63">
        <v>35961</v>
      </c>
      <c r="J81" s="64">
        <f t="shared" si="26"/>
        <v>839800</v>
      </c>
    </row>
    <row r="82" spans="2:12" ht="15.75" thickBot="1" x14ac:dyDescent="0.3">
      <c r="B82" s="9" t="s">
        <v>62</v>
      </c>
      <c r="C82" s="11"/>
      <c r="D82" s="11"/>
      <c r="E82" s="127"/>
      <c r="F82" s="27"/>
      <c r="G82" s="77">
        <f t="shared" si="25"/>
        <v>0</v>
      </c>
      <c r="H82" s="63"/>
      <c r="I82" s="63"/>
      <c r="J82" s="64">
        <f t="shared" si="26"/>
        <v>0</v>
      </c>
    </row>
    <row r="83" spans="2:12" ht="26.25" thickBot="1" x14ac:dyDescent="0.3">
      <c r="B83" s="9" t="s">
        <v>165</v>
      </c>
      <c r="C83" s="11"/>
      <c r="D83" s="11">
        <v>78662</v>
      </c>
      <c r="E83" s="127"/>
      <c r="F83" s="27"/>
      <c r="G83" s="77">
        <f t="shared" si="25"/>
        <v>78662</v>
      </c>
      <c r="H83" s="63"/>
      <c r="I83" s="63"/>
      <c r="J83" s="64">
        <f t="shared" si="26"/>
        <v>78662</v>
      </c>
    </row>
    <row r="84" spans="2:12" ht="15.75" thickBot="1" x14ac:dyDescent="0.3">
      <c r="B84" s="9" t="s">
        <v>61</v>
      </c>
      <c r="C84" s="11"/>
      <c r="D84" s="11"/>
      <c r="E84" s="127"/>
      <c r="F84" s="27"/>
      <c r="G84" s="77">
        <f t="shared" si="25"/>
        <v>0</v>
      </c>
      <c r="H84" s="63"/>
      <c r="I84" s="63"/>
      <c r="J84" s="64">
        <f t="shared" si="26"/>
        <v>0</v>
      </c>
    </row>
    <row r="85" spans="2:12" ht="15.75" thickBot="1" x14ac:dyDescent="0.3">
      <c r="B85" s="9" t="s">
        <v>27</v>
      </c>
      <c r="C85" s="11"/>
      <c r="D85" s="11">
        <v>1383938</v>
      </c>
      <c r="E85" s="127"/>
      <c r="F85" s="27">
        <v>188</v>
      </c>
      <c r="G85" s="17">
        <f t="shared" si="25"/>
        <v>1384126</v>
      </c>
      <c r="H85" s="63">
        <v>2600895</v>
      </c>
      <c r="I85" s="63">
        <v>174830</v>
      </c>
      <c r="J85" s="64">
        <f t="shared" si="26"/>
        <v>4159851</v>
      </c>
    </row>
    <row r="86" spans="2:12" ht="15.75" thickBot="1" x14ac:dyDescent="0.3">
      <c r="B86" s="9" t="s">
        <v>135</v>
      </c>
      <c r="C86" s="11"/>
      <c r="D86" s="11"/>
      <c r="E86" s="128"/>
      <c r="F86" s="27"/>
      <c r="G86" s="17">
        <f t="shared" si="25"/>
        <v>0</v>
      </c>
      <c r="H86" s="63"/>
      <c r="I86" s="63"/>
      <c r="J86" s="64">
        <f t="shared" si="26"/>
        <v>0</v>
      </c>
    </row>
    <row r="87" spans="2:12" ht="30.75" customHeight="1" thickBot="1" x14ac:dyDescent="0.3">
      <c r="B87" s="181" t="s">
        <v>43</v>
      </c>
      <c r="C87" s="139" t="s">
        <v>56</v>
      </c>
      <c r="D87" s="139"/>
      <c r="E87" s="139"/>
      <c r="F87" s="139"/>
      <c r="G87" s="40">
        <f>G62</f>
        <v>1613025</v>
      </c>
      <c r="H87" s="193">
        <f>SUM(G87:G90)</f>
        <v>3865530</v>
      </c>
      <c r="I87" s="195" t="s">
        <v>141</v>
      </c>
      <c r="J87" s="195"/>
    </row>
    <row r="88" spans="2:12" ht="42.75" customHeight="1" thickBot="1" x14ac:dyDescent="0.3">
      <c r="B88" s="192"/>
      <c r="C88" s="139" t="s">
        <v>104</v>
      </c>
      <c r="D88" s="139"/>
      <c r="E88" s="139"/>
      <c r="F88" s="152"/>
      <c r="G88" s="40">
        <f>G66</f>
        <v>316744</v>
      </c>
      <c r="H88" s="194"/>
      <c r="I88" s="196"/>
      <c r="J88" s="196"/>
      <c r="L88" s="1">
        <v>3865530</v>
      </c>
    </row>
    <row r="89" spans="2:12" ht="30" customHeight="1" thickBot="1" x14ac:dyDescent="0.3">
      <c r="B89" s="192"/>
      <c r="C89" s="139" t="s">
        <v>55</v>
      </c>
      <c r="D89" s="139"/>
      <c r="E89" s="139"/>
      <c r="F89" s="152"/>
      <c r="G89" s="40">
        <f>G72</f>
        <v>391586</v>
      </c>
      <c r="H89" s="194"/>
      <c r="I89" s="197"/>
      <c r="J89" s="197"/>
    </row>
    <row r="90" spans="2:12" ht="19.350000000000001" customHeight="1" thickBot="1" x14ac:dyDescent="0.3">
      <c r="B90" s="169"/>
      <c r="C90" s="139" t="s">
        <v>60</v>
      </c>
      <c r="D90" s="139"/>
      <c r="E90" s="139"/>
      <c r="F90" s="139"/>
      <c r="G90" s="42">
        <f>G77</f>
        <v>1544175</v>
      </c>
      <c r="H90" s="194"/>
      <c r="I90" s="198">
        <f>G95</f>
        <v>212</v>
      </c>
      <c r="J90" s="198"/>
    </row>
    <row r="91" spans="2:12" ht="10.35" customHeight="1" x14ac:dyDescent="0.25">
      <c r="B91" s="5"/>
      <c r="C91" s="13"/>
      <c r="D91" s="13"/>
      <c r="E91" s="13"/>
      <c r="F91" s="28"/>
      <c r="G91" s="16"/>
      <c r="H91" s="13"/>
      <c r="I91" s="13"/>
      <c r="J91" s="28"/>
    </row>
    <row r="92" spans="2:12" ht="9" customHeight="1" thickBot="1" x14ac:dyDescent="0.3">
      <c r="B92" s="5"/>
      <c r="C92" s="13"/>
      <c r="D92" s="13"/>
      <c r="E92" s="13"/>
      <c r="F92" s="28"/>
      <c r="G92" s="16"/>
      <c r="H92" s="13"/>
      <c r="I92" s="13"/>
      <c r="J92" s="28"/>
    </row>
    <row r="93" spans="2:12" ht="25.35" customHeight="1" thickBot="1" x14ac:dyDescent="0.3">
      <c r="B93" s="177" t="s">
        <v>178</v>
      </c>
      <c r="C93" s="177"/>
      <c r="D93" s="177"/>
      <c r="E93" s="177"/>
      <c r="F93" s="177"/>
      <c r="G93" s="177"/>
      <c r="H93" s="177"/>
      <c r="I93" s="177"/>
      <c r="J93" s="177"/>
    </row>
    <row r="94" spans="2:12" ht="45.75" thickBot="1" x14ac:dyDescent="0.3">
      <c r="B94" s="7" t="s">
        <v>32</v>
      </c>
      <c r="C94" s="38" t="s">
        <v>20</v>
      </c>
      <c r="D94" s="37" t="s">
        <v>58</v>
      </c>
      <c r="E94" s="37" t="s">
        <v>39</v>
      </c>
      <c r="F94" s="39" t="s">
        <v>37</v>
      </c>
      <c r="G94" s="39" t="s">
        <v>103</v>
      </c>
      <c r="H94" s="32"/>
      <c r="I94" s="32"/>
      <c r="J94" s="32"/>
    </row>
    <row r="95" spans="2:12" ht="48.75" thickBot="1" x14ac:dyDescent="0.3">
      <c r="B95" s="59" t="s">
        <v>108</v>
      </c>
      <c r="C95" s="12" t="s">
        <v>10</v>
      </c>
      <c r="D95" s="75">
        <f>85000</f>
        <v>85000</v>
      </c>
      <c r="E95" s="23">
        <f>F16+F17+F18+F19+F21+F22+F28+F29+F36+F37+F38+F39</f>
        <v>93602</v>
      </c>
      <c r="F95" s="19">
        <f>D95-E95</f>
        <v>-8602</v>
      </c>
      <c r="G95" s="140">
        <f>F95+F96+F99</f>
        <v>212</v>
      </c>
      <c r="H95" s="33"/>
      <c r="I95" s="33"/>
      <c r="J95" s="33"/>
    </row>
    <row r="96" spans="2:12" ht="25.5" customHeight="1" thickBot="1" x14ac:dyDescent="0.3">
      <c r="B96" s="22" t="s">
        <v>109</v>
      </c>
      <c r="C96" s="190" t="s">
        <v>170</v>
      </c>
      <c r="D96" s="68">
        <v>60000</v>
      </c>
      <c r="E96" s="190">
        <f>F9+F10+F12+F14+F23+F24+F25+F27+F31+F33+F34+F41+F42+F43+F44+F53+F54+F55+F56+F58+F59+F60+F61+F67+F69</f>
        <v>533686</v>
      </c>
      <c r="F96" s="190">
        <f>D96+D97+D98+D99+D100-E96</f>
        <v>8814</v>
      </c>
      <c r="G96" s="141"/>
      <c r="H96" s="33"/>
      <c r="I96" s="33"/>
      <c r="J96" s="33"/>
    </row>
    <row r="97" spans="2:10" ht="15.75" thickBot="1" x14ac:dyDescent="0.3">
      <c r="B97" s="22" t="s">
        <v>126</v>
      </c>
      <c r="C97" s="191"/>
      <c r="D97" s="68">
        <f>210000</f>
        <v>210000</v>
      </c>
      <c r="E97" s="191"/>
      <c r="F97" s="191"/>
      <c r="G97" s="141"/>
      <c r="H97" s="33"/>
      <c r="I97" s="33"/>
      <c r="J97" s="33"/>
    </row>
    <row r="98" spans="2:10" ht="15.75" thickBot="1" x14ac:dyDescent="0.3">
      <c r="B98" s="22" t="s">
        <v>125</v>
      </c>
      <c r="C98" s="191"/>
      <c r="D98" s="68">
        <f>267000</f>
        <v>267000</v>
      </c>
      <c r="E98" s="191"/>
      <c r="F98" s="191"/>
      <c r="G98" s="141"/>
      <c r="H98" s="33"/>
      <c r="I98" s="33"/>
      <c r="J98" s="33"/>
    </row>
    <row r="99" spans="2:10" ht="15.75" thickBot="1" x14ac:dyDescent="0.3">
      <c r="B99" s="22" t="s">
        <v>110</v>
      </c>
      <c r="C99" s="190" t="s">
        <v>19</v>
      </c>
      <c r="D99" s="11">
        <v>1500</v>
      </c>
      <c r="E99" s="191"/>
      <c r="F99" s="191"/>
      <c r="G99" s="141"/>
      <c r="H99" s="33"/>
      <c r="I99" s="33"/>
      <c r="J99" s="33"/>
    </row>
    <row r="100" spans="2:10" ht="15.75" thickBot="1" x14ac:dyDescent="0.3">
      <c r="B100" s="22" t="s">
        <v>31</v>
      </c>
      <c r="C100" s="191"/>
      <c r="D100" s="11">
        <v>4000</v>
      </c>
      <c r="E100" s="205"/>
      <c r="F100" s="205"/>
      <c r="G100" s="141"/>
      <c r="H100" s="33"/>
      <c r="I100" s="33"/>
      <c r="J100" s="33"/>
    </row>
    <row r="101" spans="2:10" ht="33.75" customHeight="1" thickBot="1" x14ac:dyDescent="0.3">
      <c r="B101" s="189" t="s">
        <v>63</v>
      </c>
      <c r="C101" s="189"/>
      <c r="D101" s="85">
        <f>SUM(D95:D100)</f>
        <v>627500</v>
      </c>
      <c r="E101" s="190"/>
      <c r="F101" s="190"/>
      <c r="G101" s="190"/>
      <c r="H101" s="153" t="s">
        <v>144</v>
      </c>
      <c r="I101" s="154"/>
      <c r="J101" s="154"/>
    </row>
    <row r="102" spans="2:10" ht="15.75" thickBot="1" x14ac:dyDescent="0.3">
      <c r="B102" s="145" t="s">
        <v>33</v>
      </c>
      <c r="C102" s="145"/>
      <c r="D102" s="145"/>
      <c r="E102" s="146"/>
      <c r="F102" s="147" t="s">
        <v>65</v>
      </c>
      <c r="G102" s="147"/>
      <c r="H102" s="147"/>
      <c r="I102" s="147"/>
      <c r="J102" s="147"/>
    </row>
    <row r="103" spans="2:10" ht="18" customHeight="1" thickBot="1" x14ac:dyDescent="0.3">
      <c r="B103" s="148" t="s">
        <v>111</v>
      </c>
      <c r="C103" s="148"/>
      <c r="D103" s="148"/>
      <c r="E103" s="57">
        <f>G8</f>
        <v>393292</v>
      </c>
      <c r="F103" s="199" t="s">
        <v>171</v>
      </c>
      <c r="G103" s="200"/>
      <c r="H103" s="200"/>
      <c r="I103" s="200"/>
      <c r="J103" s="200"/>
    </row>
    <row r="104" spans="2:10" ht="19.5" customHeight="1" thickBot="1" x14ac:dyDescent="0.3">
      <c r="B104" s="148" t="s">
        <v>112</v>
      </c>
      <c r="C104" s="148"/>
      <c r="D104" s="148"/>
      <c r="E104" s="57">
        <f>G11</f>
        <v>128696</v>
      </c>
      <c r="F104" s="201"/>
      <c r="G104" s="202"/>
      <c r="H104" s="202"/>
      <c r="I104" s="202"/>
      <c r="J104" s="202"/>
    </row>
    <row r="105" spans="2:10" ht="18.75" customHeight="1" thickBot="1" x14ac:dyDescent="0.3">
      <c r="B105" s="148" t="s">
        <v>113</v>
      </c>
      <c r="C105" s="148"/>
      <c r="D105" s="148"/>
      <c r="E105" s="57">
        <f>G15</f>
        <v>502251</v>
      </c>
      <c r="F105" s="201"/>
      <c r="G105" s="202"/>
      <c r="H105" s="202"/>
      <c r="I105" s="202"/>
      <c r="J105" s="202"/>
    </row>
    <row r="106" spans="2:10" ht="30" customHeight="1" thickBot="1" x14ac:dyDescent="0.3">
      <c r="B106" s="148" t="s">
        <v>114</v>
      </c>
      <c r="C106" s="148"/>
      <c r="D106" s="148"/>
      <c r="E106" s="57">
        <f>G20</f>
        <v>143087</v>
      </c>
      <c r="F106" s="201"/>
      <c r="G106" s="202"/>
      <c r="H106" s="202"/>
      <c r="I106" s="202"/>
      <c r="J106" s="202"/>
    </row>
    <row r="107" spans="2:10" ht="19.5" customHeight="1" thickBot="1" x14ac:dyDescent="0.3">
      <c r="B107" s="148" t="s">
        <v>115</v>
      </c>
      <c r="C107" s="148"/>
      <c r="D107" s="148"/>
      <c r="E107" s="57">
        <f>G26</f>
        <v>42616</v>
      </c>
      <c r="F107" s="203"/>
      <c r="G107" s="204"/>
      <c r="H107" s="204"/>
      <c r="I107" s="204"/>
      <c r="J107" s="204"/>
    </row>
    <row r="108" spans="2:10" ht="18" customHeight="1" thickBot="1" x14ac:dyDescent="0.3">
      <c r="B108" s="148" t="s">
        <v>116</v>
      </c>
      <c r="C108" s="148"/>
      <c r="D108" s="148"/>
      <c r="E108" s="57">
        <f>G30</f>
        <v>213807</v>
      </c>
      <c r="F108" s="132" t="s">
        <v>169</v>
      </c>
      <c r="G108" s="132"/>
      <c r="H108" s="132"/>
      <c r="I108" s="132"/>
      <c r="J108" s="132"/>
    </row>
    <row r="109" spans="2:10" ht="31.5" customHeight="1" thickBot="1" x14ac:dyDescent="0.3">
      <c r="B109" s="148" t="s">
        <v>117</v>
      </c>
      <c r="C109" s="148"/>
      <c r="D109" s="148"/>
      <c r="E109" s="57">
        <f>G35</f>
        <v>31548</v>
      </c>
      <c r="F109" s="151" t="s">
        <v>121</v>
      </c>
      <c r="G109" s="149"/>
      <c r="H109" s="149"/>
      <c r="I109" s="150">
        <f>E113</f>
        <v>1613025</v>
      </c>
      <c r="J109" s="150"/>
    </row>
    <row r="110" spans="2:10" ht="21" customHeight="1" thickBot="1" x14ac:dyDescent="0.3">
      <c r="B110" s="148" t="s">
        <v>118</v>
      </c>
      <c r="C110" s="148"/>
      <c r="D110" s="148"/>
      <c r="E110" s="57">
        <f>G40</f>
        <v>119048</v>
      </c>
      <c r="F110" s="149" t="s">
        <v>122</v>
      </c>
      <c r="G110" s="149"/>
      <c r="H110" s="149"/>
      <c r="I110" s="150">
        <f>G66</f>
        <v>316744</v>
      </c>
      <c r="J110" s="150"/>
    </row>
    <row r="111" spans="2:10" ht="30" customHeight="1" thickBot="1" x14ac:dyDescent="0.3">
      <c r="B111" s="148" t="s">
        <v>119</v>
      </c>
      <c r="C111" s="148"/>
      <c r="D111" s="148"/>
      <c r="E111" s="57">
        <f>G52</f>
        <v>28680</v>
      </c>
      <c r="F111" s="149" t="s">
        <v>123</v>
      </c>
      <c r="G111" s="149"/>
      <c r="H111" s="149"/>
      <c r="I111" s="150">
        <f>G72</f>
        <v>391586</v>
      </c>
      <c r="J111" s="150"/>
    </row>
    <row r="112" spans="2:10" ht="31.5" customHeight="1" thickBot="1" x14ac:dyDescent="0.3">
      <c r="B112" s="148" t="s">
        <v>120</v>
      </c>
      <c r="C112" s="148"/>
      <c r="D112" s="148"/>
      <c r="E112" s="57">
        <f>G57</f>
        <v>10000</v>
      </c>
      <c r="F112" s="149" t="s">
        <v>124</v>
      </c>
      <c r="G112" s="149"/>
      <c r="H112" s="149"/>
      <c r="I112" s="150">
        <f>G77</f>
        <v>1544175</v>
      </c>
      <c r="J112" s="150"/>
    </row>
    <row r="113" spans="2:10" ht="23.25" customHeight="1" thickBot="1" x14ac:dyDescent="0.3">
      <c r="B113" s="142" t="s">
        <v>30</v>
      </c>
      <c r="C113" s="142"/>
      <c r="D113" s="142"/>
      <c r="E113" s="58">
        <f>SUM(E103:E112)</f>
        <v>1613025</v>
      </c>
      <c r="F113" s="143" t="s">
        <v>54</v>
      </c>
      <c r="G113" s="143"/>
      <c r="H113" s="143"/>
      <c r="I113" s="144">
        <f>SUM(I109:J112)</f>
        <v>3865530</v>
      </c>
      <c r="J113" s="144"/>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4" t="s">
        <v>145</v>
      </c>
      <c r="C129" s="125"/>
      <c r="D129" s="125"/>
      <c r="E129" s="70"/>
      <c r="F129" s="124" t="s">
        <v>146</v>
      </c>
      <c r="G129" s="125"/>
      <c r="H129" s="125"/>
      <c r="I129" s="125"/>
      <c r="J129" s="125"/>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14</vt:i4>
      </vt:variant>
    </vt:vector>
  </HeadingPairs>
  <TitlesOfParts>
    <vt:vector size="28" baseType="lpstr">
      <vt:lpstr>Eredeti Terv 23</vt:lpstr>
      <vt:lpstr>KV MÓD I. 23</vt:lpstr>
      <vt:lpstr>KV MÓD II. 23</vt:lpstr>
      <vt:lpstr>KV MÓD III. 23</vt:lpstr>
      <vt:lpstr>KONCEPCIÓ 24</vt:lpstr>
      <vt:lpstr>2024.I. módosítás</vt:lpstr>
      <vt:lpstr>KV 24</vt:lpstr>
      <vt:lpstr>2024 év KV. I. módosítás (2)</vt:lpstr>
      <vt:lpstr>2024 év KV. II. módosítás (3)</vt:lpstr>
      <vt:lpstr>2024 év KV. III. módosítás (4)</vt:lpstr>
      <vt:lpstr>KONCEPCIÓ 2025.év (2)</vt:lpstr>
      <vt:lpstr> 2025.év I.mód.</vt:lpstr>
      <vt:lpstr> 2025.év II.mód. (2)</vt:lpstr>
      <vt:lpstr> 2025.év III.mód.</vt:lpstr>
      <vt:lpstr>' 2025.év I.mód.'!Nyomtatási_terület</vt:lpstr>
      <vt:lpstr>' 2025.év II.mód. (2)'!Nyomtatási_terület</vt:lpstr>
      <vt:lpstr>' 2025.év III.mód.'!Nyomtatási_terület</vt:lpstr>
      <vt:lpstr>'2024 év KV. I. módosítás (2)'!Nyomtatási_terület</vt:lpstr>
      <vt:lpstr>'2024 év KV. II. módosítás (3)'!Nyomtatási_terület</vt:lpstr>
      <vt:lpstr>'2024 év KV. III. módosítás (4)'!Nyomtatási_terület</vt:lpstr>
      <vt:lpstr>'2024.I. módosítás'!Nyomtatási_terület</vt:lpstr>
      <vt:lpstr>'Eredeti Terv 23'!Nyomtatási_terület</vt:lpstr>
      <vt:lpstr>'KONCEPCIÓ 2025.év (2)'!Nyomtatási_terület</vt:lpstr>
      <vt:lpstr>'KONCEPCIÓ 24'!Nyomtatási_terület</vt:lpstr>
      <vt:lpstr>'KV 24'!Nyomtatási_terület</vt:lpstr>
      <vt:lpstr>'KV MÓD I. 23'!Nyomtatási_terület</vt:lpstr>
      <vt:lpstr>'KV MÓD II. 23'!Nyomtatási_terület</vt:lpstr>
      <vt:lpstr>'KV MÓD III. 23'!Nyomtatási_terület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SzSKatalinE</cp:lastModifiedBy>
  <cp:lastPrinted>2025-09-16T07:37:53Z</cp:lastPrinted>
  <dcterms:created xsi:type="dcterms:W3CDTF">2020-12-11T13:32:47Z</dcterms:created>
  <dcterms:modified xsi:type="dcterms:W3CDTF">2025-11-05T13:40:40Z</dcterms:modified>
</cp:coreProperties>
</file>