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showInkAnnotation="0" codeName="ThisWorkbook" defaultThemeVersion="124226"/>
  <xr:revisionPtr revIDLastSave="0" documentId="8_{1EFC63AB-68B4-44A5-8C66-8DD61F1105D6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Műszaki adattábla" sheetId="7" r:id="rId1"/>
    <sheet name="számoló tábla" sheetId="5" r:id="rId2"/>
    <sheet name="Technikai cellák" sheetId="3" r:id="rId3"/>
    <sheet name="Elérhetőségek" sheetId="8" r:id="rId4"/>
  </sheets>
  <definedNames>
    <definedName name="_xlnm._FilterDatabase" localSheetId="0" hidden="1">'Műszaki adattábla'!$A$13:$AO$18</definedName>
    <definedName name="_xlnm._FilterDatabase" localSheetId="1" hidden="1">'számoló tábla'!$L$1:$O$25</definedName>
  </definedNames>
  <calcPr calcId="191029" fullPrecision="0"/>
</workbook>
</file>

<file path=xl/calcChain.xml><?xml version="1.0" encoding="utf-8"?>
<calcChain xmlns="http://schemas.openxmlformats.org/spreadsheetml/2006/main">
  <c r="F10" i="5" l="1"/>
  <c r="C5" i="7"/>
  <c r="V9" i="7" s="1"/>
  <c r="C11" i="7"/>
  <c r="AP14" i="7"/>
  <c r="AP17" i="7" l="1"/>
  <c r="AP16" i="7"/>
  <c r="AP15" i="7"/>
  <c r="H14" i="7" l="1"/>
  <c r="I14" i="7" s="1"/>
  <c r="K14" i="7"/>
  <c r="O14" i="7"/>
  <c r="L14" i="7" l="1"/>
  <c r="M14" i="7"/>
  <c r="D23" i="5"/>
  <c r="D24" i="5"/>
  <c r="D25" i="5"/>
  <c r="C25" i="5" l="1"/>
  <c r="C23" i="5"/>
  <c r="C24" i="5"/>
  <c r="Q18" i="7" l="1"/>
  <c r="D5" i="5" l="1"/>
  <c r="D6" i="5"/>
  <c r="D22" i="5"/>
  <c r="O15" i="7"/>
  <c r="H23" i="5" s="1"/>
  <c r="O16" i="7"/>
  <c r="H24" i="5" s="1"/>
  <c r="O17" i="7"/>
  <c r="H25" i="5" s="1"/>
  <c r="H15" i="7"/>
  <c r="I15" i="7" s="1"/>
  <c r="H16" i="7"/>
  <c r="I16" i="7" s="1"/>
  <c r="H17" i="7"/>
  <c r="I17" i="7" s="1"/>
  <c r="H22" i="5" l="1"/>
  <c r="B22" i="5"/>
  <c r="C22" i="5"/>
  <c r="AO17" i="7"/>
  <c r="AN17" i="7"/>
  <c r="AM17" i="7"/>
  <c r="AL17" i="7"/>
  <c r="AK17" i="7"/>
  <c r="AJ17" i="7"/>
  <c r="AH17" i="7"/>
  <c r="AG17" i="7"/>
  <c r="AF17" i="7"/>
  <c r="AE17" i="7"/>
  <c r="AD17" i="7"/>
  <c r="AO16" i="7"/>
  <c r="AN16" i="7"/>
  <c r="AM16" i="7"/>
  <c r="AL16" i="7"/>
  <c r="AK16" i="7"/>
  <c r="AJ16" i="7"/>
  <c r="AH16" i="7"/>
  <c r="AG16" i="7"/>
  <c r="AF16" i="7"/>
  <c r="AE16" i="7"/>
  <c r="AD16" i="7"/>
  <c r="AO15" i="7"/>
  <c r="AN15" i="7"/>
  <c r="AM15" i="7"/>
  <c r="AL15" i="7"/>
  <c r="AK15" i="7"/>
  <c r="AJ15" i="7"/>
  <c r="AH15" i="7"/>
  <c r="AG15" i="7"/>
  <c r="AF15" i="7"/>
  <c r="AE15" i="7"/>
  <c r="AD15" i="7"/>
  <c r="AO14" i="7"/>
  <c r="AN14" i="7"/>
  <c r="AM14" i="7"/>
  <c r="AL14" i="7"/>
  <c r="AK14" i="7"/>
  <c r="AJ14" i="7"/>
  <c r="AH14" i="7"/>
  <c r="AG14" i="7"/>
  <c r="AF14" i="7"/>
  <c r="AE14" i="7"/>
  <c r="AD14" i="7"/>
  <c r="D7" i="5"/>
  <c r="B23" i="5" l="1"/>
  <c r="B24" i="5" s="1"/>
  <c r="B25" i="5" s="1"/>
  <c r="K15" i="7" l="1"/>
  <c r="G23" i="5" s="1"/>
  <c r="K16" i="7"/>
  <c r="G24" i="5" s="1"/>
  <c r="K17" i="7"/>
  <c r="G25" i="5" s="1"/>
  <c r="L15" i="7" l="1"/>
  <c r="F23" i="5" s="1"/>
  <c r="L17" i="7"/>
  <c r="F25" i="5" s="1"/>
  <c r="K25" i="5" s="1"/>
  <c r="L16" i="7"/>
  <c r="F24" i="5" s="1"/>
  <c r="K24" i="5" s="1"/>
  <c r="M15" i="7"/>
  <c r="M17" i="7"/>
  <c r="M16" i="7"/>
  <c r="K23" i="5" l="1"/>
  <c r="G22" i="5"/>
  <c r="A7" i="3"/>
  <c r="F22" i="5" l="1"/>
  <c r="A8" i="3"/>
  <c r="I8" i="5" s="1"/>
  <c r="K22" i="5" l="1"/>
  <c r="D13" i="5" l="1"/>
  <c r="AI14" i="7" l="1"/>
  <c r="Q14" i="7" s="1"/>
  <c r="AI15" i="7"/>
  <c r="Q15" i="7" s="1"/>
  <c r="E23" i="5" s="1"/>
  <c r="AI16" i="7"/>
  <c r="Q16" i="7" s="1"/>
  <c r="E24" i="5" s="1"/>
  <c r="AI17" i="7"/>
  <c r="Q17" i="7" s="1"/>
  <c r="E25" i="5" s="1"/>
  <c r="P14" i="7" l="1"/>
  <c r="E22" i="5"/>
  <c r="L23" i="5"/>
  <c r="P15" i="7"/>
  <c r="L25" i="5"/>
  <c r="P17" i="7"/>
  <c r="C8" i="7"/>
  <c r="P16" i="7"/>
  <c r="L24" i="5"/>
  <c r="D8" i="5" l="1"/>
  <c r="D12" i="5" s="1"/>
  <c r="L22" i="5"/>
  <c r="D14" i="5" s="1"/>
  <c r="C9" i="7"/>
  <c r="C10" i="7" s="1"/>
  <c r="D18" i="5" l="1"/>
  <c r="D17" i="5" s="1"/>
</calcChain>
</file>

<file path=xl/sharedStrings.xml><?xml version="1.0" encoding="utf-8"?>
<sst xmlns="http://schemas.openxmlformats.org/spreadsheetml/2006/main" count="159" uniqueCount="114">
  <si>
    <t>Cégnév</t>
  </si>
  <si>
    <t xml:space="preserve">POD </t>
  </si>
  <si>
    <t>= Rögzített elemek</t>
  </si>
  <si>
    <t>= Kitöltendő elemek, egész szám pontossággal</t>
  </si>
  <si>
    <t>20 alatti</t>
  </si>
  <si>
    <t>20-99</t>
  </si>
  <si>
    <t>100-500</t>
  </si>
  <si>
    <t>500-</t>
  </si>
  <si>
    <t>mérő nélküli</t>
  </si>
  <si>
    <t>Szerződő megnevezése</t>
  </si>
  <si>
    <t>Szerződő címe</t>
  </si>
  <si>
    <t>Számlafizető megnevezése</t>
  </si>
  <si>
    <t>Számlafizető címe</t>
  </si>
  <si>
    <t>Mérési pont azonosító</t>
  </si>
  <si>
    <t>Tervezett fogyasztás a szerződött időszakban (kWh)</t>
  </si>
  <si>
    <t>Elosztói engedélyes székhelye</t>
  </si>
  <si>
    <t>Aktuális kereskedő megnevezése</t>
  </si>
  <si>
    <t>1081 Budapest, II. János Pál pápa tér 20.</t>
  </si>
  <si>
    <t xml:space="preserve"> FÖLDGÁZ KÖZBESZERZÉS</t>
  </si>
  <si>
    <t xml:space="preserve"> Ajánlati ártáblázat</t>
  </si>
  <si>
    <t>= A felolvasólapra kerülő ajánlati ár</t>
  </si>
  <si>
    <t>Elosztói engedélyes neve</t>
  </si>
  <si>
    <t>Társaság neve</t>
  </si>
  <si>
    <t>Címe</t>
  </si>
  <si>
    <t>Csepeli Erőmű Kft.</t>
  </si>
  <si>
    <t>1211 Budapest, Szinesfém utca 1-3</t>
  </si>
  <si>
    <t>E.GAS Gázelosztó Kft.</t>
  </si>
  <si>
    <t>8800 Nagykanizsa, Csengery út 9.</t>
  </si>
  <si>
    <t>E.ON Dél-dunántúli Gázhálózati Zrt.</t>
  </si>
  <si>
    <t>7626 Pécs, Búza tér 8/a</t>
  </si>
  <si>
    <t>E.ON Közép-dunántúli Gázhálózati Zrt.</t>
  </si>
  <si>
    <t>8800 Nagykanizsa, Zrínyi Miklós út 32.</t>
  </si>
  <si>
    <t>ISD POWER Energiatermelő és Szolgáltató Kft.</t>
  </si>
  <si>
    <t>2400 Dunaújváros, Vasmű tér 1-3.</t>
  </si>
  <si>
    <t>Magyar Gázszolgáltató Kft.</t>
  </si>
  <si>
    <t>NATURAL GAS SERVICE Ipari és Szolgáltató Kft.</t>
  </si>
  <si>
    <t>4028 Debrecen, Laktanya u. 38. III/11</t>
  </si>
  <si>
    <t>NKM Észak-Dél Földgázhálózati Zrt.</t>
  </si>
  <si>
    <t>6724 Szeged, Pulcz u. 44.</t>
  </si>
  <si>
    <t>NKM Földgázhálózati Kft.</t>
  </si>
  <si>
    <t>OERG Ózdi Energiaszolgáltató és Kereskedelmi Kft.</t>
  </si>
  <si>
    <t>3600 Ózd, Gyár út 1.</t>
  </si>
  <si>
    <t>TIGÁZ Földgázelosztó Zrt.</t>
  </si>
  <si>
    <t>4200 Hajdúszoboszló, Rákóczi Ferenc út 184.</t>
  </si>
  <si>
    <t>Szerződéses hónapok száma:</t>
  </si>
  <si>
    <t>Forgalmi díj 
(Ft/MWh)</t>
  </si>
  <si>
    <t>Szerződéses időszak kezdete:</t>
  </si>
  <si>
    <t>Szerződéses időszak vége:</t>
  </si>
  <si>
    <t>= Ajánlati díjelem, három tizedes jegy pontossággal</t>
  </si>
  <si>
    <t>Forgalmi díj
(Ft/szerződéses időszak):</t>
  </si>
  <si>
    <t>Fogyasztási hely címe</t>
  </si>
  <si>
    <t>Kategória besorolás</t>
  </si>
  <si>
    <t>Műszaki adattábla</t>
  </si>
  <si>
    <t>Fűtőérték:</t>
  </si>
  <si>
    <t>Váltószám:</t>
  </si>
  <si>
    <t>Tervezett mennyiség összesen:</t>
  </si>
  <si>
    <t>Felhasználási helyek száma:</t>
  </si>
  <si>
    <t>Szerződött mennyiség aránya a tervezetthez képest</t>
  </si>
  <si>
    <t>39N11</t>
  </si>
  <si>
    <t>39N06</t>
  </si>
  <si>
    <t>39N05</t>
  </si>
  <si>
    <t>39N04</t>
  </si>
  <si>
    <t>39N03</t>
  </si>
  <si>
    <t>39N16</t>
  </si>
  <si>
    <t>39N10</t>
  </si>
  <si>
    <t>39N08</t>
  </si>
  <si>
    <t>39N09</t>
  </si>
  <si>
    <t>Sorszám</t>
  </si>
  <si>
    <t>Felhasználási hely címe</t>
  </si>
  <si>
    <t>Forgalom független rendszerhasználati díjtétel a szerződéses időszakra:</t>
  </si>
  <si>
    <t>= Kalkulált elemek</t>
  </si>
  <si>
    <t>Kerreskedő neve:</t>
  </si>
  <si>
    <t>Kereskedő címe:</t>
  </si>
  <si>
    <t>Maximális mennyiség aránya a szerződötthöz képest (opciós mennyiség)</t>
  </si>
  <si>
    <t>Egyösszegű ajánlati ár</t>
  </si>
  <si>
    <r>
      <t>Tervezett fogyasztás a szerződött időszakban (m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>)</t>
    </r>
  </si>
  <si>
    <t>= Kitöltendő elemek, három tizedes jegy pontossággal</t>
  </si>
  <si>
    <t>Tájékoztató jellegű információ:</t>
  </si>
  <si>
    <t>CSAK a 20 - 99 m3/h kategória esetén kell az N oszlopot kitölteni!</t>
  </si>
  <si>
    <r>
      <rPr>
        <b/>
        <sz val="10"/>
        <color rgb="FFFF0000"/>
        <rFont val="Arial"/>
        <family val="2"/>
        <charset val="238"/>
      </rPr>
      <t>Szerződött fölgázmennyiség</t>
    </r>
    <r>
      <rPr>
        <b/>
        <sz val="10"/>
        <rFont val="Arial"/>
        <family val="2"/>
        <charset val="238"/>
      </rPr>
      <t>:</t>
    </r>
  </si>
  <si>
    <t>Maximum szerződött mennyiség:</t>
  </si>
  <si>
    <t>Földgáz termék ár (Molekula díj) - egységár:</t>
  </si>
  <si>
    <t>Szín magyarázat:</t>
  </si>
  <si>
    <r>
      <t xml:space="preserve">Forgalom független rendszerhasználati díjtétel </t>
    </r>
    <r>
      <rPr>
        <b/>
        <sz val="11"/>
        <color rgb="FF0000FF"/>
        <rFont val="Arial"/>
        <family val="2"/>
        <charset val="238"/>
      </rPr>
      <t>(Kapacitásdíj</t>
    </r>
    <r>
      <rPr>
        <b/>
        <sz val="11"/>
        <rFont val="Arial"/>
        <family val="2"/>
        <charset val="238"/>
      </rPr>
      <t>)
(Ft/szerződéses időszak):</t>
    </r>
  </si>
  <si>
    <t>Fajlagos egységár (Földgáz termék ár + Rendszerhasználati ár):</t>
  </si>
  <si>
    <t>Teljes összköltség (Földgáz termék ár + Rendszerhasználati ár):</t>
  </si>
  <si>
    <t>Kapacitásdíj 
(Ft/kWh/h/év)</t>
  </si>
  <si>
    <t>x</t>
  </si>
  <si>
    <r>
      <t>Mérők névleges összteljesítménye (20 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/h alatt) (m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/h):</t>
    </r>
  </si>
  <si>
    <r>
      <t>Maximális lekötött teljesítmény (20-99 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/h között) (kWh/h):</t>
    </r>
  </si>
  <si>
    <r>
      <t>Igényelt lekötött teljesítmény (20-99 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/h között) (kWh/h)
(</t>
    </r>
    <r>
      <rPr>
        <b/>
        <sz val="10"/>
        <color rgb="FFFF0000"/>
        <rFont val="Arial"/>
        <family val="2"/>
        <charset val="238"/>
      </rPr>
      <t xml:space="preserve">Az "M" oszlopban szereplő érték vagy annál kisebb;
</t>
    </r>
    <r>
      <rPr>
        <b/>
        <sz val="10"/>
        <rFont val="Arial"/>
        <family val="2"/>
        <charset val="238"/>
      </rPr>
      <t>lsd.: 11/2016. (XI. 14.) MEKH rendelet 29. § (6) bekezdése)</t>
    </r>
  </si>
  <si>
    <r>
      <t>Lekötött teljesítmény (100 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/h - ) (kWh/h)</t>
    </r>
  </si>
  <si>
    <r>
      <t>Mérők névleges összteljesítménye (20 m</t>
    </r>
    <r>
      <rPr>
        <b/>
        <vertAlign val="superscript"/>
        <sz val="11"/>
        <rFont val="Arial"/>
        <family val="2"/>
        <charset val="238"/>
      </rPr>
      <t>3</t>
    </r>
    <r>
      <rPr>
        <b/>
        <sz val="11"/>
        <rFont val="Arial"/>
        <family val="2"/>
        <charset val="238"/>
      </rPr>
      <t>/h alatt) (m</t>
    </r>
    <r>
      <rPr>
        <b/>
        <vertAlign val="superscript"/>
        <sz val="11"/>
        <rFont val="Arial"/>
        <family val="2"/>
        <charset val="238"/>
      </rPr>
      <t>3</t>
    </r>
    <r>
      <rPr>
        <b/>
        <sz val="11"/>
        <rFont val="Arial"/>
        <family val="2"/>
        <charset val="238"/>
      </rPr>
      <t>/h):</t>
    </r>
  </si>
  <si>
    <r>
      <t>Lekötött teljesítmény
(20-99 m</t>
    </r>
    <r>
      <rPr>
        <b/>
        <vertAlign val="superscript"/>
        <sz val="11"/>
        <rFont val="Arial"/>
        <family val="2"/>
        <charset val="238"/>
      </rPr>
      <t>3</t>
    </r>
    <r>
      <rPr>
        <b/>
        <sz val="11"/>
        <rFont val="Arial"/>
        <family val="2"/>
        <charset val="238"/>
      </rPr>
      <t>/h között) (kWh/h):</t>
    </r>
  </si>
  <si>
    <r>
      <t>Lekötött teljesítmény
(100 m</t>
    </r>
    <r>
      <rPr>
        <b/>
        <vertAlign val="superscript"/>
        <sz val="11"/>
        <rFont val="Arial"/>
        <family val="2"/>
        <charset val="238"/>
      </rPr>
      <t>3</t>
    </r>
    <r>
      <rPr>
        <b/>
        <sz val="11"/>
        <rFont val="Arial"/>
        <family val="2"/>
        <charset val="238"/>
      </rPr>
      <t>/h - ) (kWh/h)</t>
    </r>
  </si>
  <si>
    <t>Szerződött fogyasztás a szerződéses időszakban (kWh/h)</t>
  </si>
  <si>
    <t xml:space="preserve"> = A kék hátterű cellák mutatják, hogy milyen időtartományban kell megadni a "Tervezett fogyasztás a szerződött időszakban (m3)" adatokat</t>
  </si>
  <si>
    <r>
      <t>Gázmérők névleges összteljesítménye (m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/h), ill. 100 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/h feletti mérők esetén a lekötés mennyiségét kell magadni (m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/h)</t>
    </r>
  </si>
  <si>
    <t>Szerződött fogyasztás a szerződéses időszakban (kWh)</t>
  </si>
  <si>
    <t>Szerződött fogyasztás a szerződéses időszakban (kWh):</t>
  </si>
  <si>
    <t>Földgáz termék ár  a szerződött fogyasztási mennyiségre</t>
  </si>
  <si>
    <t>Forgalmi díj a szerződött fogyasztási mennyiségre:</t>
  </si>
  <si>
    <r>
      <t xml:space="preserve"> FÖLDGÁZ KÖZBESZERZÉS </t>
    </r>
    <r>
      <rPr>
        <b/>
        <sz val="11"/>
        <color rgb="FFFF0000"/>
        <rFont val="Arial"/>
        <family val="2"/>
        <charset val="238"/>
      </rPr>
      <t>a 2023-as gázévre</t>
    </r>
  </si>
  <si>
    <t>Kapcsolattartó neve, elérhetőségei:</t>
  </si>
  <si>
    <t>Kitöltő neve, elérhetőségei:</t>
  </si>
  <si>
    <t>Martonvásár Város Önkormányzata</t>
  </si>
  <si>
    <t>2462 Martonvásár, Budai út 13.</t>
  </si>
  <si>
    <t>Martonvásár, Szent László út 2.</t>
  </si>
  <si>
    <t>39N030211345000I</t>
  </si>
  <si>
    <t xml:space="preserve"> = A sárga hátterű cellákban és az "L", "M", "N" oszlopokban automatikusan számol.</t>
  </si>
  <si>
    <t xml:space="preserve"> = Ajánlatkérő által kitöltendő cellák</t>
  </si>
  <si>
    <t>EON Energiamegoldások Kft</t>
  </si>
  <si>
    <t>Martonvásár Városi Közszolgáltató Nonprofit Kft</t>
  </si>
  <si>
    <t>2462 Martonvásár, Szent László út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</si>
</sst>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\ _F_t_-;\-* #,##0.00\ _F_t_-;_-* &quot;-&quot;??\ _F_t_-;_-@_-"/>
    <numFmt numFmtId="164" formatCode="0.000"/>
    <numFmt numFmtId="165" formatCode="_-* #,##0\ _F_t_-;\-* #,##0\ _F_t_-;_-* &quot;-&quot;??\ _F_t_-;_-@_-"/>
    <numFmt numFmtId="166" formatCode="_-* #,##0.0000\ _F_t_-;\-* #,##0.0000\ _F_t_-;_-* &quot;-&quot;????\ _F_t_-;_-@_-"/>
    <numFmt numFmtId="167" formatCode="#,##0_ ;\-#,##0\ "/>
    <numFmt numFmtId="168" formatCode="#,##0.000_ ;\-#,##0.000\ "/>
    <numFmt numFmtId="169" formatCode="[$-40E]yyyy/\ mmmm;@"/>
    <numFmt numFmtId="170" formatCode="0.00&quot; MJ/m3&quot;"/>
    <numFmt numFmtId="171" formatCode="0.0000&quot; MJ/kWh&quot;"/>
    <numFmt numFmtId="172" formatCode="0.000&quot; Ft/kWh&quot;"/>
    <numFmt numFmtId="173" formatCode="#,##0&quot; kWh&quot;"/>
    <numFmt numFmtId="174" formatCode="###,000&quot; db&quot;"/>
    <numFmt numFmtId="175" formatCode="#,##0;General;\-"/>
    <numFmt numFmtId="176" formatCode="#,##0\ &quot;Ft&quot;"/>
    <numFmt numFmtId="177" formatCode="#,##0.0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62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1"/>
      <color indexed="62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6AFA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CC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3F3F3F"/>
      </left>
      <right/>
      <top style="medium">
        <color rgb="FF3F3F3F"/>
      </top>
      <bottom style="medium">
        <color rgb="FF3F3F3F"/>
      </bottom>
      <diagonal/>
    </border>
    <border>
      <left/>
      <right/>
      <top style="medium">
        <color rgb="FF3F3F3F"/>
      </top>
      <bottom style="medium">
        <color rgb="FF3F3F3F"/>
      </bottom>
      <diagonal/>
    </border>
    <border>
      <left/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rgb="FF3F3F3F"/>
      </bottom>
      <diagonal/>
    </border>
    <border>
      <left/>
      <right/>
      <top style="medium">
        <color indexed="64"/>
      </top>
      <bottom style="medium">
        <color rgb="FF3F3F3F"/>
      </bottom>
      <diagonal/>
    </border>
    <border>
      <left/>
      <right style="medium">
        <color indexed="64"/>
      </right>
      <top style="medium">
        <color indexed="64"/>
      </top>
      <bottom style="medium">
        <color rgb="FF3F3F3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medium">
        <color indexed="64"/>
      </top>
      <bottom/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2CF88D"/>
      </left>
      <right style="thin">
        <color indexed="64"/>
      </right>
      <top style="medium">
        <color indexed="64"/>
      </top>
      <bottom/>
      <diagonal/>
    </border>
    <border>
      <left style="thick">
        <color rgb="FF2CF88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CF88D"/>
      </right>
      <top style="medium">
        <color indexed="64"/>
      </top>
      <bottom/>
      <diagonal/>
    </border>
    <border>
      <left style="thin">
        <color indexed="64"/>
      </left>
      <right style="thick">
        <color rgb="FF2CF88D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/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10" borderId="40" applyNumberFormat="0" applyAlignment="0" applyProtection="0"/>
  </cellStyleXfs>
  <cellXfs count="194">
    <xf numFmtId="0" fontId="0" fillId="0" borderId="0" xfId="0"/>
    <xf numFmtId="0" fontId="4" fillId="9" borderId="0" xfId="0" applyFont="1" applyFill="1" applyProtection="1"/>
    <xf numFmtId="0" fontId="6" fillId="9" borderId="0" xfId="0" applyFont="1" applyFill="1" applyBorder="1" applyAlignment="1" applyProtection="1">
      <alignment vertical="center" wrapText="1"/>
    </xf>
    <xf numFmtId="0" fontId="4" fillId="9" borderId="0" xfId="0" applyFont="1" applyFill="1" applyBorder="1" applyAlignment="1" applyProtection="1">
      <alignment vertical="center"/>
    </xf>
    <xf numFmtId="165" fontId="4" fillId="9" borderId="0" xfId="0" applyNumberFormat="1" applyFont="1" applyFill="1" applyProtection="1"/>
    <xf numFmtId="1" fontId="7" fillId="9" borderId="0" xfId="0" applyNumberFormat="1" applyFont="1" applyFill="1" applyBorder="1" applyAlignment="1" applyProtection="1">
      <alignment horizontal="center" vertical="center"/>
    </xf>
    <xf numFmtId="0" fontId="9" fillId="9" borderId="0" xfId="0" applyFont="1" applyFill="1"/>
    <xf numFmtId="0" fontId="4" fillId="9" borderId="0" xfId="0" applyFont="1" applyFill="1" applyBorder="1" applyAlignment="1" applyProtection="1">
      <alignment horizontal="center" vertical="center"/>
    </xf>
    <xf numFmtId="0" fontId="9" fillId="9" borderId="0" xfId="0" applyFont="1" applyFill="1" applyAlignment="1">
      <alignment horizontal="center"/>
    </xf>
    <xf numFmtId="165" fontId="9" fillId="9" borderId="0" xfId="1" applyNumberFormat="1" applyFont="1" applyFill="1" applyAlignment="1">
      <alignment horizontal="center"/>
    </xf>
    <xf numFmtId="0" fontId="9" fillId="9" borderId="0" xfId="0" applyFont="1" applyFill="1" applyBorder="1" applyAlignment="1" applyProtection="1">
      <alignment vertical="center"/>
    </xf>
    <xf numFmtId="1" fontId="8" fillId="2" borderId="7" xfId="0" applyNumberFormat="1" applyFont="1" applyFill="1" applyBorder="1" applyAlignment="1" applyProtection="1">
      <alignment horizontal="center" vertical="center" wrapText="1"/>
    </xf>
    <xf numFmtId="173" fontId="8" fillId="2" borderId="6" xfId="0" applyNumberFormat="1" applyFont="1" applyFill="1" applyBorder="1" applyAlignment="1">
      <alignment horizontal="center" vertical="center" wrapText="1"/>
    </xf>
    <xf numFmtId="174" fontId="8" fillId="2" borderId="7" xfId="0" applyNumberFormat="1" applyFont="1" applyFill="1" applyBorder="1" applyAlignment="1" applyProtection="1">
      <alignment horizontal="center" vertical="center" wrapText="1"/>
    </xf>
    <xf numFmtId="171" fontId="8" fillId="2" borderId="7" xfId="0" applyNumberFormat="1" applyFont="1" applyFill="1" applyBorder="1" applyAlignment="1" applyProtection="1">
      <alignment horizontal="center" vertical="center" wrapText="1"/>
    </xf>
    <xf numFmtId="0" fontId="1" fillId="9" borderId="0" xfId="0" applyFont="1" applyFill="1"/>
    <xf numFmtId="0" fontId="1" fillId="9" borderId="6" xfId="0" applyFont="1" applyFill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0" fontId="1" fillId="9" borderId="0" xfId="0" applyFont="1" applyFill="1" applyProtection="1"/>
    <xf numFmtId="175" fontId="1" fillId="9" borderId="0" xfId="0" applyNumberFormat="1" applyFont="1" applyFill="1" applyProtection="1"/>
    <xf numFmtId="0" fontId="5" fillId="9" borderId="23" xfId="0" quotePrefix="1" applyFont="1" applyFill="1" applyBorder="1" applyAlignment="1" applyProtection="1">
      <alignment horizontal="left"/>
    </xf>
    <xf numFmtId="0" fontId="5" fillId="9" borderId="24" xfId="0" applyFont="1" applyFill="1" applyBorder="1" applyAlignment="1" applyProtection="1">
      <alignment horizontal="left"/>
    </xf>
    <xf numFmtId="0" fontId="5" fillId="9" borderId="25" xfId="0" applyFont="1" applyFill="1" applyBorder="1" applyAlignment="1" applyProtection="1">
      <alignment horizontal="left"/>
    </xf>
    <xf numFmtId="2" fontId="5" fillId="3" borderId="20" xfId="0" applyNumberFormat="1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/>
    </xf>
    <xf numFmtId="0" fontId="5" fillId="9" borderId="1" xfId="0" applyFont="1" applyFill="1" applyBorder="1" applyAlignment="1" applyProtection="1">
      <alignment horizontal="center" vertical="center" wrapText="1"/>
    </xf>
    <xf numFmtId="0" fontId="5" fillId="9" borderId="14" xfId="0" applyFont="1" applyFill="1" applyBorder="1" applyAlignment="1" applyProtection="1">
      <alignment horizontal="center" vertical="center" wrapText="1"/>
    </xf>
    <xf numFmtId="0" fontId="5" fillId="9" borderId="8" xfId="0" applyFont="1" applyFill="1" applyBorder="1" applyAlignment="1" applyProtection="1">
      <alignment horizontal="center" vertical="center" wrapText="1"/>
    </xf>
    <xf numFmtId="0" fontId="5" fillId="9" borderId="18" xfId="0" applyFont="1" applyFill="1" applyBorder="1" applyAlignment="1" applyProtection="1">
      <alignment horizontal="center" vertical="center" wrapText="1"/>
    </xf>
    <xf numFmtId="175" fontId="5" fillId="9" borderId="18" xfId="0" applyNumberFormat="1" applyFont="1" applyFill="1" applyBorder="1" applyAlignment="1" applyProtection="1">
      <alignment horizontal="center" vertical="center" wrapText="1"/>
    </xf>
    <xf numFmtId="175" fontId="5" fillId="8" borderId="29" xfId="2" applyNumberFormat="1" applyFont="1" applyFill="1" applyBorder="1" applyAlignment="1" applyProtection="1">
      <alignment horizontal="center" vertical="center" wrapText="1"/>
    </xf>
    <xf numFmtId="164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1" fillId="9" borderId="6" xfId="0" applyFont="1" applyFill="1" applyBorder="1" applyProtection="1">
      <protection locked="0"/>
    </xf>
    <xf numFmtId="0" fontId="1" fillId="9" borderId="7" xfId="0" applyFont="1" applyFill="1" applyBorder="1" applyProtection="1">
      <protection locked="0"/>
    </xf>
    <xf numFmtId="165" fontId="5" fillId="2" borderId="7" xfId="1" applyNumberFormat="1" applyFont="1" applyFill="1" applyBorder="1" applyAlignment="1" applyProtection="1">
      <alignment horizontal="center" vertical="center"/>
      <protection locked="0"/>
    </xf>
    <xf numFmtId="175" fontId="5" fillId="2" borderId="7" xfId="0" applyNumberFormat="1" applyFont="1" applyFill="1" applyBorder="1" applyAlignment="1" applyProtection="1">
      <alignment horizontal="center"/>
    </xf>
    <xf numFmtId="175" fontId="5" fillId="2" borderId="7" xfId="0" applyNumberFormat="1" applyFont="1" applyFill="1" applyBorder="1" applyAlignment="1" applyProtection="1">
      <alignment horizontal="center"/>
      <protection locked="0"/>
    </xf>
    <xf numFmtId="168" fontId="5" fillId="3" borderId="19" xfId="1" applyNumberFormat="1" applyFont="1" applyFill="1" applyBorder="1" applyAlignment="1" applyProtection="1">
      <alignment horizontal="center" vertical="center"/>
      <protection locked="0"/>
    </xf>
    <xf numFmtId="168" fontId="5" fillId="3" borderId="16" xfId="1" applyNumberFormat="1" applyFont="1" applyFill="1" applyBorder="1" applyAlignment="1" applyProtection="1">
      <alignment horizontal="center" vertical="center"/>
      <protection locked="0"/>
    </xf>
    <xf numFmtId="167" fontId="5" fillId="5" borderId="30" xfId="1" applyNumberFormat="1" applyFont="1" applyFill="1" applyBorder="1" applyAlignment="1" applyProtection="1">
      <alignment horizontal="center" vertical="center"/>
    </xf>
    <xf numFmtId="167" fontId="5" fillId="5" borderId="7" xfId="1" applyNumberFormat="1" applyFont="1" applyFill="1" applyBorder="1" applyAlignment="1" applyProtection="1">
      <alignment horizontal="center" vertical="center"/>
    </xf>
    <xf numFmtId="166" fontId="1" fillId="9" borderId="0" xfId="0" applyNumberFormat="1" applyFont="1" applyFill="1" applyProtection="1"/>
    <xf numFmtId="43" fontId="1" fillId="9" borderId="0" xfId="0" applyNumberFormat="1" applyFont="1" applyFill="1" applyProtection="1"/>
    <xf numFmtId="0" fontId="5" fillId="2" borderId="15" xfId="0" applyFont="1" applyFill="1" applyBorder="1" applyAlignment="1" applyProtection="1">
      <alignment vertical="center" textRotation="255" wrapText="1"/>
    </xf>
    <xf numFmtId="0" fontId="12" fillId="9" borderId="41" xfId="0" applyFont="1" applyFill="1" applyBorder="1" applyAlignment="1" applyProtection="1">
      <alignment horizontal="center" vertical="center"/>
    </xf>
    <xf numFmtId="0" fontId="12" fillId="9" borderId="0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12" fillId="9" borderId="5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14" fontId="5" fillId="2" borderId="6" xfId="0" applyNumberFormat="1" applyFont="1" applyFill="1" applyBorder="1" applyAlignment="1" applyProtection="1">
      <alignment horizontal="center" vertical="center"/>
    </xf>
    <xf numFmtId="1" fontId="5" fillId="2" borderId="6" xfId="0" applyNumberFormat="1" applyFont="1" applyFill="1" applyBorder="1" applyAlignment="1" applyProtection="1">
      <alignment horizontal="center" vertical="center"/>
    </xf>
    <xf numFmtId="173" fontId="5" fillId="2" borderId="6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176" fontId="5" fillId="7" borderId="6" xfId="0" applyNumberFormat="1" applyFont="1" applyFill="1" applyBorder="1" applyAlignment="1" applyProtection="1">
      <alignment horizontal="center" vertical="center"/>
    </xf>
    <xf numFmtId="176" fontId="5" fillId="7" borderId="43" xfId="0" applyNumberFormat="1" applyFont="1" applyFill="1" applyBorder="1" applyAlignment="1" applyProtection="1">
      <alignment horizontal="center" vertical="center"/>
    </xf>
    <xf numFmtId="176" fontId="5" fillId="4" borderId="28" xfId="0" applyNumberFormat="1" applyFont="1" applyFill="1" applyBorder="1" applyAlignment="1" applyProtection="1">
      <alignment horizontal="center"/>
    </xf>
    <xf numFmtId="164" fontId="5" fillId="5" borderId="14" xfId="0" applyNumberFormat="1" applyFont="1" applyFill="1" applyBorder="1" applyAlignment="1" applyProtection="1">
      <alignment horizontal="center" vertical="center"/>
    </xf>
    <xf numFmtId="2" fontId="5" fillId="2" borderId="22" xfId="0" applyNumberFormat="1" applyFont="1" applyFill="1" applyBorder="1" applyAlignment="1" applyProtection="1">
      <alignment horizontal="center" vertical="center"/>
    </xf>
    <xf numFmtId="164" fontId="11" fillId="10" borderId="45" xfId="4" applyNumberFormat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0" fontId="5" fillId="6" borderId="6" xfId="0" applyFont="1" applyFill="1" applyBorder="1" applyAlignment="1" applyProtection="1">
      <alignment horizontal="center" vertical="center"/>
    </xf>
    <xf numFmtId="164" fontId="5" fillId="7" borderId="30" xfId="0" applyNumberFormat="1" applyFont="1" applyFill="1" applyBorder="1" applyAlignment="1" applyProtection="1">
      <alignment vertical="center"/>
    </xf>
    <xf numFmtId="0" fontId="1" fillId="9" borderId="12" xfId="0" applyFont="1" applyFill="1" applyBorder="1" applyAlignment="1">
      <alignment horizontal="center" vertical="center"/>
    </xf>
    <xf numFmtId="169" fontId="1" fillId="9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/>
    <xf numFmtId="175" fontId="9" fillId="4" borderId="12" xfId="1" applyNumberFormat="1" applyFont="1" applyFill="1" applyBorder="1"/>
    <xf numFmtId="172" fontId="14" fillId="4" borderId="28" xfId="0" applyNumberFormat="1" applyFont="1" applyFill="1" applyBorder="1" applyAlignment="1" applyProtection="1">
      <alignment horizontal="center"/>
    </xf>
    <xf numFmtId="0" fontId="12" fillId="9" borderId="0" xfId="0" applyFont="1" applyFill="1" applyBorder="1" applyAlignment="1" applyProtection="1">
      <alignment horizontal="center" vertical="center" wrapText="1"/>
    </xf>
    <xf numFmtId="172" fontId="12" fillId="0" borderId="0" xfId="0" applyNumberFormat="1" applyFont="1" applyFill="1" applyBorder="1" applyAlignment="1" applyProtection="1">
      <alignment horizontal="center" vertical="center"/>
    </xf>
    <xf numFmtId="172" fontId="5" fillId="0" borderId="7" xfId="0" applyNumberFormat="1" applyFont="1" applyFill="1" applyBorder="1" applyAlignment="1" applyProtection="1">
      <alignment horizontal="center" vertical="center"/>
    </xf>
    <xf numFmtId="170" fontId="8" fillId="11" borderId="7" xfId="0" applyNumberFormat="1" applyFont="1" applyFill="1" applyBorder="1" applyAlignment="1" applyProtection="1">
      <alignment horizontal="center" vertical="center" wrapText="1"/>
    </xf>
    <xf numFmtId="9" fontId="8" fillId="11" borderId="7" xfId="3" applyFont="1" applyFill="1" applyBorder="1" applyAlignment="1">
      <alignment horizontal="center" vertical="center"/>
    </xf>
    <xf numFmtId="0" fontId="9" fillId="11" borderId="12" xfId="0" applyFont="1" applyFill="1" applyBorder="1"/>
    <xf numFmtId="175" fontId="9" fillId="11" borderId="12" xfId="1" applyNumberFormat="1" applyFont="1" applyFill="1" applyBorder="1" applyAlignment="1">
      <alignment horizontal="center"/>
    </xf>
    <xf numFmtId="175" fontId="9" fillId="11" borderId="56" xfId="1" applyNumberFormat="1" applyFont="1" applyFill="1" applyBorder="1" applyAlignment="1">
      <alignment horizontal="center"/>
    </xf>
    <xf numFmtId="175" fontId="9" fillId="4" borderId="58" xfId="1" applyNumberFormat="1" applyFont="1" applyFill="1" applyBorder="1"/>
    <xf numFmtId="175" fontId="9" fillId="4" borderId="56" xfId="1" applyNumberFormat="1" applyFont="1" applyFill="1" applyBorder="1"/>
    <xf numFmtId="175" fontId="9" fillId="11" borderId="60" xfId="1" applyNumberFormat="1" applyFont="1" applyFill="1" applyBorder="1" applyAlignment="1">
      <alignment horizontal="center"/>
    </xf>
    <xf numFmtId="0" fontId="4" fillId="11" borderId="12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175" fontId="9" fillId="4" borderId="12" xfId="0" applyNumberFormat="1" applyFont="1" applyFill="1" applyBorder="1" applyAlignment="1">
      <alignment horizontal="center"/>
    </xf>
    <xf numFmtId="0" fontId="9" fillId="4" borderId="61" xfId="0" applyFont="1" applyFill="1" applyBorder="1" applyAlignment="1">
      <alignment horizontal="center"/>
    </xf>
    <xf numFmtId="175" fontId="9" fillId="4" borderId="63" xfId="0" applyNumberFormat="1" applyFont="1" applyFill="1" applyBorder="1" applyAlignment="1">
      <alignment horizontal="center"/>
    </xf>
    <xf numFmtId="175" fontId="9" fillId="4" borderId="56" xfId="0" applyNumberFormat="1" applyFont="1" applyFill="1" applyBorder="1"/>
    <xf numFmtId="175" fontId="9" fillId="4" borderId="65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 applyProtection="1">
      <alignment horizontal="center" vertical="center"/>
    </xf>
    <xf numFmtId="49" fontId="17" fillId="9" borderId="12" xfId="0" applyNumberFormat="1" applyFont="1" applyFill="1" applyBorder="1" applyAlignment="1" applyProtection="1">
      <alignment vertical="center"/>
    </xf>
    <xf numFmtId="1" fontId="7" fillId="9" borderId="3" xfId="0" applyNumberFormat="1" applyFont="1" applyFill="1" applyBorder="1" applyAlignment="1" applyProtection="1">
      <alignment horizontal="center" vertical="center"/>
    </xf>
    <xf numFmtId="0" fontId="4" fillId="9" borderId="3" xfId="0" applyFont="1" applyFill="1" applyBorder="1" applyAlignment="1" applyProtection="1">
      <alignment vertical="center"/>
    </xf>
    <xf numFmtId="0" fontId="4" fillId="9" borderId="3" xfId="0" applyFont="1" applyFill="1" applyBorder="1" applyAlignment="1" applyProtection="1">
      <alignment horizontal="center" vertical="center"/>
    </xf>
    <xf numFmtId="0" fontId="4" fillId="9" borderId="56" xfId="0" applyFont="1" applyFill="1" applyBorder="1" applyAlignment="1" applyProtection="1">
      <alignment horizontal="center" vertical="center"/>
    </xf>
    <xf numFmtId="172" fontId="5" fillId="3" borderId="6" xfId="0" applyNumberFormat="1" applyFont="1" applyFill="1" applyBorder="1" applyAlignment="1" applyProtection="1">
      <alignment horizontal="center" vertical="center"/>
    </xf>
    <xf numFmtId="172" fontId="5" fillId="0" borderId="6" xfId="0" applyNumberFormat="1" applyFont="1" applyFill="1" applyBorder="1" applyAlignment="1" applyProtection="1">
      <alignment horizontal="center" vertical="center"/>
    </xf>
    <xf numFmtId="175" fontId="5" fillId="2" borderId="7" xfId="0" applyNumberFormat="1" applyFont="1" applyFill="1" applyBorder="1" applyAlignment="1" applyProtection="1">
      <alignment horizontal="center"/>
      <protection locked="0"/>
    </xf>
    <xf numFmtId="175" fontId="9" fillId="11" borderId="61" xfId="0" applyNumberFormat="1" applyFont="1" applyFill="1" applyBorder="1" applyAlignment="1">
      <alignment horizontal="center"/>
    </xf>
    <xf numFmtId="173" fontId="8" fillId="12" borderId="6" xfId="0" applyNumberFormat="1" applyFont="1" applyFill="1" applyBorder="1" applyAlignment="1">
      <alignment horizontal="center" vertical="center" wrapText="1"/>
    </xf>
    <xf numFmtId="0" fontId="8" fillId="12" borderId="18" xfId="2" applyFont="1" applyFill="1" applyBorder="1" applyAlignment="1">
      <alignment horizontal="center" vertical="center" wrapText="1"/>
    </xf>
    <xf numFmtId="0" fontId="8" fillId="12" borderId="38" xfId="2" applyFont="1" applyFill="1" applyBorder="1" applyAlignment="1">
      <alignment horizontal="center" vertical="center" wrapText="1"/>
    </xf>
    <xf numFmtId="0" fontId="8" fillId="12" borderId="62" xfId="2" applyFont="1" applyFill="1" applyBorder="1" applyAlignment="1">
      <alignment horizontal="center" vertical="center" wrapText="1"/>
    </xf>
    <xf numFmtId="0" fontId="8" fillId="12" borderId="64" xfId="2" applyFont="1" applyFill="1" applyBorder="1" applyAlignment="1">
      <alignment horizontal="center" vertical="center" wrapText="1"/>
    </xf>
    <xf numFmtId="0" fontId="8" fillId="12" borderId="57" xfId="2" applyFont="1" applyFill="1" applyBorder="1" applyAlignment="1">
      <alignment horizontal="center" vertical="center" wrapText="1"/>
    </xf>
    <xf numFmtId="0" fontId="9" fillId="9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9" fontId="8" fillId="12" borderId="55" xfId="2" applyNumberFormat="1" applyFont="1" applyFill="1" applyBorder="1" applyAlignment="1">
      <alignment horizontal="center" vertical="center" wrapText="1"/>
    </xf>
    <xf numFmtId="169" fontId="8" fillId="12" borderId="39" xfId="2" applyNumberFormat="1" applyFont="1" applyFill="1" applyBorder="1" applyAlignment="1">
      <alignment horizontal="center" vertical="center" wrapText="1"/>
    </xf>
    <xf numFmtId="169" fontId="8" fillId="12" borderId="68" xfId="2" applyNumberFormat="1" applyFont="1" applyFill="1" applyBorder="1" applyAlignment="1">
      <alignment horizontal="center" vertical="center" wrapText="1"/>
    </xf>
    <xf numFmtId="175" fontId="9" fillId="4" borderId="60" xfId="1" applyNumberFormat="1" applyFont="1" applyFill="1" applyBorder="1"/>
    <xf numFmtId="0" fontId="4" fillId="13" borderId="12" xfId="0" applyFont="1" applyFill="1" applyBorder="1" applyAlignment="1" applyProtection="1">
      <alignment horizontal="center" vertical="center"/>
    </xf>
    <xf numFmtId="14" fontId="3" fillId="11" borderId="7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/>
    <xf numFmtId="0" fontId="9" fillId="11" borderId="12" xfId="1" applyNumberFormat="1" applyFont="1" applyFill="1" applyBorder="1" applyAlignment="1">
      <alignment horizontal="center"/>
    </xf>
    <xf numFmtId="175" fontId="9" fillId="9" borderId="0" xfId="0" applyNumberFormat="1" applyFont="1" applyFill="1"/>
    <xf numFmtId="169" fontId="8" fillId="13" borderId="55" xfId="2" applyNumberFormat="1" applyFont="1" applyFill="1" applyBorder="1" applyAlignment="1">
      <alignment horizontal="center" vertical="center" wrapText="1"/>
    </xf>
    <xf numFmtId="169" fontId="8" fillId="13" borderId="71" xfId="2" applyNumberFormat="1" applyFont="1" applyFill="1" applyBorder="1" applyAlignment="1">
      <alignment horizontal="center" vertical="center" wrapText="1"/>
    </xf>
    <xf numFmtId="169" fontId="8" fillId="13" borderId="9" xfId="2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 wrapText="1"/>
    </xf>
    <xf numFmtId="175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9" borderId="6" xfId="0" applyFont="1" applyFill="1" applyBorder="1" applyAlignment="1" applyProtection="1">
      <alignment vertical="center"/>
      <protection locked="0"/>
    </xf>
    <xf numFmtId="0" fontId="1" fillId="9" borderId="7" xfId="0" applyFont="1" applyFill="1" applyBorder="1" applyAlignment="1" applyProtection="1">
      <alignment vertical="center"/>
      <protection locked="0"/>
    </xf>
    <xf numFmtId="0" fontId="15" fillId="13" borderId="4" xfId="0" applyFont="1" applyFill="1" applyBorder="1" applyAlignment="1">
      <alignment horizontal="center"/>
    </xf>
    <xf numFmtId="0" fontId="15" fillId="13" borderId="5" xfId="0" applyFont="1" applyFill="1" applyBorder="1" applyAlignment="1">
      <alignment horizontal="center"/>
    </xf>
    <xf numFmtId="0" fontId="15" fillId="13" borderId="69" xfId="0" applyFont="1" applyFill="1" applyBorder="1" applyAlignment="1">
      <alignment horizontal="center"/>
    </xf>
    <xf numFmtId="0" fontId="15" fillId="12" borderId="70" xfId="0" applyFont="1" applyFill="1" applyBorder="1" applyAlignment="1">
      <alignment horizontal="center"/>
    </xf>
    <xf numFmtId="0" fontId="15" fillId="12" borderId="29" xfId="0" applyFont="1" applyFill="1" applyBorder="1" applyAlignment="1">
      <alignment horizontal="center"/>
    </xf>
    <xf numFmtId="0" fontId="15" fillId="12" borderId="59" xfId="0" applyFont="1" applyFill="1" applyBorder="1" applyAlignment="1">
      <alignment horizontal="center"/>
    </xf>
    <xf numFmtId="0" fontId="8" fillId="12" borderId="4" xfId="0" applyFont="1" applyFill="1" applyBorder="1" applyAlignment="1" applyProtection="1">
      <alignment vertical="center"/>
    </xf>
    <xf numFmtId="0" fontId="8" fillId="12" borderId="6" xfId="0" applyFont="1" applyFill="1" applyBorder="1" applyAlignment="1" applyProtection="1">
      <alignment vertical="center"/>
    </xf>
    <xf numFmtId="0" fontId="18" fillId="12" borderId="4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vertical="center"/>
    </xf>
    <xf numFmtId="0" fontId="8" fillId="3" borderId="4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vertical="center"/>
    </xf>
    <xf numFmtId="0" fontId="8" fillId="3" borderId="6" xfId="0" applyFont="1" applyFill="1" applyBorder="1" applyAlignment="1" applyProtection="1">
      <alignment vertical="center"/>
    </xf>
    <xf numFmtId="0" fontId="18" fillId="9" borderId="1" xfId="0" applyFont="1" applyFill="1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8" fillId="6" borderId="4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</xf>
    <xf numFmtId="0" fontId="10" fillId="9" borderId="4" xfId="0" applyFont="1" applyFill="1" applyBorder="1" applyAlignment="1" applyProtection="1">
      <alignment horizontal="center" vertical="center"/>
    </xf>
    <xf numFmtId="0" fontId="10" fillId="9" borderId="5" xfId="0" applyFont="1" applyFill="1" applyBorder="1" applyAlignment="1" applyProtection="1">
      <alignment horizontal="center" vertical="center"/>
    </xf>
    <xf numFmtId="0" fontId="10" fillId="9" borderId="6" xfId="0" applyFont="1" applyFill="1" applyBorder="1" applyAlignment="1" applyProtection="1">
      <alignment horizontal="center" vertical="center"/>
    </xf>
    <xf numFmtId="0" fontId="8" fillId="12" borderId="5" xfId="0" applyFont="1" applyFill="1" applyBorder="1" applyAlignment="1" applyProtection="1">
      <alignment vertical="center"/>
    </xf>
    <xf numFmtId="164" fontId="5" fillId="7" borderId="30" xfId="0" applyNumberFormat="1" applyFont="1" applyFill="1" applyBorder="1" applyAlignment="1" applyProtection="1">
      <alignment horizontal="center" vertical="center"/>
    </xf>
    <xf numFmtId="164" fontId="5" fillId="7" borderId="44" xfId="0" applyNumberFormat="1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14" fillId="4" borderId="26" xfId="0" applyFont="1" applyFill="1" applyBorder="1" applyAlignment="1" applyProtection="1">
      <alignment horizontal="center"/>
    </xf>
    <xf numFmtId="0" fontId="14" fillId="4" borderId="27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5" fillId="9" borderId="11" xfId="0" quotePrefix="1" applyFont="1" applyFill="1" applyBorder="1" applyAlignment="1" applyProtection="1">
      <alignment horizontal="left"/>
    </xf>
    <xf numFmtId="0" fontId="5" fillId="9" borderId="3" xfId="0" quotePrefix="1" applyFont="1" applyFill="1" applyBorder="1" applyAlignment="1" applyProtection="1">
      <alignment horizontal="left"/>
    </xf>
    <xf numFmtId="0" fontId="5" fillId="9" borderId="21" xfId="0" quotePrefix="1" applyFont="1" applyFill="1" applyBorder="1" applyAlignment="1" applyProtection="1">
      <alignment horizontal="left"/>
    </xf>
    <xf numFmtId="0" fontId="5" fillId="9" borderId="26" xfId="0" quotePrefix="1" applyFont="1" applyFill="1" applyBorder="1" applyAlignment="1" applyProtection="1">
      <alignment horizontal="left" wrapText="1"/>
    </xf>
    <xf numFmtId="0" fontId="5" fillId="9" borderId="27" xfId="0" quotePrefix="1" applyFont="1" applyFill="1" applyBorder="1" applyAlignment="1" applyProtection="1">
      <alignment horizontal="left" wrapText="1"/>
    </xf>
    <xf numFmtId="0" fontId="5" fillId="9" borderId="28" xfId="0" quotePrefix="1" applyFont="1" applyFill="1" applyBorder="1" applyAlignment="1" applyProtection="1">
      <alignment horizontal="left" wrapText="1"/>
    </xf>
    <xf numFmtId="0" fontId="5" fillId="9" borderId="13" xfId="0" quotePrefix="1" applyFont="1" applyFill="1" applyBorder="1" applyAlignment="1" applyProtection="1">
      <alignment horizontal="left"/>
    </xf>
    <xf numFmtId="0" fontId="5" fillId="9" borderId="9" xfId="0" applyFont="1" applyFill="1" applyBorder="1" applyAlignment="1" applyProtection="1">
      <alignment horizontal="left"/>
    </xf>
    <xf numFmtId="0" fontId="5" fillId="9" borderId="10" xfId="0" applyFont="1" applyFill="1" applyBorder="1" applyAlignment="1" applyProtection="1">
      <alignment horizontal="left"/>
    </xf>
    <xf numFmtId="0" fontId="5" fillId="9" borderId="31" xfId="0" quotePrefix="1" applyFont="1" applyFill="1" applyBorder="1" applyAlignment="1" applyProtection="1">
      <alignment horizontal="left"/>
    </xf>
    <xf numFmtId="0" fontId="5" fillId="9" borderId="32" xfId="0" quotePrefix="1" applyFont="1" applyFill="1" applyBorder="1" applyAlignment="1" applyProtection="1">
      <alignment horizontal="left"/>
    </xf>
    <xf numFmtId="0" fontId="5" fillId="9" borderId="33" xfId="0" quotePrefix="1" applyNumberFormat="1" applyFont="1" applyFill="1" applyBorder="1" applyAlignment="1" applyProtection="1">
      <alignment horizontal="left" wrapText="1"/>
    </xf>
    <xf numFmtId="0" fontId="5" fillId="9" borderId="34" xfId="0" quotePrefix="1" applyNumberFormat="1" applyFont="1" applyFill="1" applyBorder="1" applyAlignment="1" applyProtection="1">
      <alignment horizontal="left" wrapText="1"/>
    </xf>
    <xf numFmtId="0" fontId="5" fillId="9" borderId="42" xfId="0" quotePrefix="1" applyNumberFormat="1" applyFont="1" applyFill="1" applyBorder="1" applyAlignment="1" applyProtection="1">
      <alignment horizontal="left" wrapText="1"/>
    </xf>
    <xf numFmtId="0" fontId="13" fillId="9" borderId="46" xfId="0" applyFont="1" applyFill="1" applyBorder="1" applyAlignment="1" applyProtection="1">
      <alignment horizontal="center" vertical="center"/>
    </xf>
    <xf numFmtId="0" fontId="13" fillId="9" borderId="47" xfId="0" applyFont="1" applyFill="1" applyBorder="1" applyAlignment="1" applyProtection="1">
      <alignment horizontal="center" vertical="center"/>
    </xf>
    <xf numFmtId="0" fontId="13" fillId="9" borderId="48" xfId="0" applyFont="1" applyFill="1" applyBorder="1" applyAlignment="1" applyProtection="1">
      <alignment horizontal="center" vertical="center"/>
    </xf>
    <xf numFmtId="164" fontId="5" fillId="7" borderId="4" xfId="0" applyNumberFormat="1" applyFont="1" applyFill="1" applyBorder="1" applyAlignment="1" applyProtection="1">
      <alignment horizontal="center" vertical="center"/>
    </xf>
    <xf numFmtId="164" fontId="5" fillId="7" borderId="5" xfId="0" applyNumberFormat="1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0" fontId="5" fillId="6" borderId="6" xfId="0" applyFont="1" applyFill="1" applyBorder="1" applyAlignment="1" applyProtection="1">
      <alignment horizontal="center" vertical="center"/>
    </xf>
    <xf numFmtId="0" fontId="12" fillId="9" borderId="19" xfId="0" applyFont="1" applyFill="1" applyBorder="1" applyAlignment="1" applyProtection="1">
      <alignment horizontal="center" vertical="center"/>
    </xf>
    <xf numFmtId="0" fontId="12" fillId="9" borderId="9" xfId="0" applyFont="1" applyFill="1" applyBorder="1" applyAlignment="1" applyProtection="1">
      <alignment horizontal="center" vertical="center"/>
    </xf>
    <xf numFmtId="0" fontId="12" fillId="9" borderId="10" xfId="0" applyFont="1" applyFill="1" applyBorder="1" applyAlignment="1" applyProtection="1">
      <alignment horizontal="center" vertical="center"/>
    </xf>
    <xf numFmtId="0" fontId="12" fillId="9" borderId="35" xfId="0" applyFont="1" applyFill="1" applyBorder="1" applyAlignment="1" applyProtection="1">
      <alignment horizontal="center" vertical="center"/>
    </xf>
    <xf numFmtId="0" fontId="12" fillId="9" borderId="36" xfId="0" applyFont="1" applyFill="1" applyBorder="1" applyAlignment="1" applyProtection="1">
      <alignment horizontal="center" vertical="center"/>
    </xf>
    <xf numFmtId="0" fontId="12" fillId="9" borderId="37" xfId="0" applyFont="1" applyFill="1" applyBorder="1" applyAlignment="1" applyProtection="1">
      <alignment horizontal="center" vertical="center"/>
    </xf>
    <xf numFmtId="0" fontId="5" fillId="0" borderId="52" xfId="0" applyNumberFormat="1" applyFont="1" applyFill="1" applyBorder="1" applyAlignment="1" applyProtection="1">
      <alignment horizontal="center" vertical="center" wrapText="1"/>
    </xf>
    <xf numFmtId="0" fontId="5" fillId="0" borderId="53" xfId="0" applyNumberFormat="1" applyFont="1" applyFill="1" applyBorder="1" applyAlignment="1" applyProtection="1">
      <alignment horizontal="center" vertical="center" wrapText="1"/>
    </xf>
    <xf numFmtId="0" fontId="5" fillId="0" borderId="54" xfId="0" applyNumberFormat="1" applyFont="1" applyFill="1" applyBorder="1" applyAlignment="1" applyProtection="1">
      <alignment horizontal="center" vertical="center" wrapText="1"/>
    </xf>
    <xf numFmtId="177" fontId="19" fillId="10" borderId="49" xfId="4" applyNumberFormat="1" applyFont="1" applyBorder="1" applyAlignment="1" applyProtection="1">
      <alignment horizontal="center" vertical="center" wrapText="1"/>
    </xf>
    <xf numFmtId="177" fontId="19" fillId="10" borderId="50" xfId="4" applyNumberFormat="1" applyFont="1" applyBorder="1" applyAlignment="1" applyProtection="1">
      <alignment horizontal="center" vertical="center" wrapText="1"/>
    </xf>
    <xf numFmtId="177" fontId="19" fillId="10" borderId="51" xfId="4" applyNumberFormat="1" applyFont="1" applyBorder="1" applyAlignment="1" applyProtection="1">
      <alignment horizontal="center" vertical="center" wrapText="1"/>
    </xf>
    <xf numFmtId="0" fontId="12" fillId="9" borderId="7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</cellXfs>
  <cellStyles count="5">
    <cellStyle name="Ellenőrzőcella" xfId="4" builtinId="23"/>
    <cellStyle name="Ezres" xfId="1" builtinId="3"/>
    <cellStyle name="Normál" xfId="0" builtinId="0"/>
    <cellStyle name="Normál 2" xfId="2" xr:uid="{00000000-0005-0000-0000-000003000000}"/>
    <cellStyle name="Százalék 2 2" xfId="3" xr:uid="{00000000-0005-0000-0000-000004000000}"/>
  </cellStyles>
  <dxfs count="16">
    <dxf>
      <font>
        <b/>
        <i val="0"/>
        <strike val="0"/>
        <color rgb="FF008000"/>
      </font>
    </dxf>
    <dxf>
      <font>
        <b/>
        <i val="0"/>
        <color rgb="FFFF0000"/>
      </font>
      <fill>
        <patternFill patternType="solid">
          <fgColor auto="1"/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ill>
        <patternFill>
          <bgColor rgb="FF66CC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CCFF"/>
      <color rgb="FFFCD5B4"/>
      <color rgb="FF0000FF"/>
      <color rgb="FFFF66FF"/>
      <color rgb="FFFF3399"/>
      <color rgb="FF6AFAAF"/>
      <color rgb="FF07DF6E"/>
      <color rgb="FFFF99FF"/>
      <color rgb="FF2CF88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AP18"/>
  <sheetViews>
    <sheetView showGridLines="0" showZeros="0" zoomScale="70" zoomScaleNormal="70" workbookViewId="0">
      <selection activeCell="C8" sqref="C8"/>
    </sheetView>
  </sheetViews>
  <sheetFormatPr defaultColWidth="9.140625" defaultRowHeight="12.75" x14ac:dyDescent="0.2"/>
  <cols>
    <col min="1" max="1" width="33" style="6" bestFit="1" customWidth="1"/>
    <col min="2" max="2" width="32.140625" style="6" customWidth="1"/>
    <col min="3" max="3" width="36.140625" style="6" customWidth="1"/>
    <col min="4" max="4" width="32.140625" style="6" customWidth="1"/>
    <col min="5" max="5" width="18.7109375" style="6" customWidth="1"/>
    <col min="6" max="6" width="44.140625" style="6" customWidth="1"/>
    <col min="7" max="7" width="36" style="6" customWidth="1"/>
    <col min="8" max="8" width="24.5703125" style="6" customWidth="1"/>
    <col min="9" max="9" width="40" style="6" customWidth="1"/>
    <col min="10" max="10" width="17.140625" style="9" customWidth="1"/>
    <col min="11" max="11" width="14.42578125" style="8" customWidth="1"/>
    <col min="12" max="12" width="19.5703125" style="8" customWidth="1"/>
    <col min="13" max="13" width="20.28515625" style="6" customWidth="1"/>
    <col min="14" max="14" width="22.140625" style="6" customWidth="1"/>
    <col min="15" max="15" width="20.7109375" style="6" customWidth="1"/>
    <col min="16" max="17" width="14.140625" style="6" customWidth="1"/>
    <col min="18" max="18" width="18.7109375" style="6" customWidth="1"/>
    <col min="19" max="19" width="19.85546875" style="6" customWidth="1"/>
    <col min="20" max="20" width="22.7109375" style="6" bestFit="1" customWidth="1"/>
    <col min="21" max="21" width="12.7109375" style="6" bestFit="1" customWidth="1"/>
    <col min="22" max="22" width="16.5703125" style="6" customWidth="1"/>
    <col min="23" max="23" width="14.5703125" style="6" customWidth="1"/>
    <col min="24" max="24" width="12.7109375" style="6" bestFit="1" customWidth="1"/>
    <col min="25" max="25" width="17.5703125" style="6" customWidth="1"/>
    <col min="26" max="26" width="17.85546875" style="6" customWidth="1"/>
    <col min="27" max="27" width="14.7109375" style="6" customWidth="1"/>
    <col min="28" max="28" width="17" style="6" customWidth="1"/>
    <col min="29" max="29" width="19.140625" style="6" customWidth="1"/>
    <col min="30" max="30" width="14.42578125" style="6" customWidth="1"/>
    <col min="31" max="32" width="16.85546875" style="6" customWidth="1"/>
    <col min="33" max="34" width="13.7109375" style="6" customWidth="1"/>
    <col min="35" max="35" width="14.85546875" style="6" customWidth="1"/>
    <col min="36" max="36" width="13.7109375" style="6" customWidth="1"/>
    <col min="37" max="37" width="17.28515625" style="6" customWidth="1"/>
    <col min="38" max="38" width="18.140625" style="6" customWidth="1"/>
    <col min="39" max="39" width="14.140625" style="6" customWidth="1"/>
    <col min="40" max="40" width="17" style="6" customWidth="1"/>
    <col min="41" max="41" width="18.85546875" style="6" customWidth="1"/>
    <col min="42" max="16384" width="9.140625" style="6"/>
  </cols>
  <sheetData>
    <row r="1" spans="1:42" ht="15" customHeight="1" thickBot="1" x14ac:dyDescent="0.25">
      <c r="A1" s="142" t="s">
        <v>52</v>
      </c>
      <c r="B1" s="143"/>
      <c r="C1" s="144"/>
      <c r="D1" s="3"/>
      <c r="E1" s="105"/>
      <c r="F1" s="105" t="s">
        <v>82</v>
      </c>
      <c r="G1" s="5"/>
      <c r="H1" s="3"/>
      <c r="I1" s="3"/>
      <c r="J1" s="7"/>
      <c r="K1" s="7"/>
      <c r="L1" s="7"/>
      <c r="M1" s="2"/>
      <c r="N1" s="2"/>
      <c r="O1" s="4"/>
    </row>
    <row r="2" spans="1:42" ht="15" customHeight="1" thickBot="1" x14ac:dyDescent="0.25">
      <c r="A2" s="145" t="s">
        <v>18</v>
      </c>
      <c r="B2" s="146"/>
      <c r="C2" s="147"/>
      <c r="D2" s="3"/>
      <c r="E2" s="82"/>
      <c r="F2" s="90" t="s">
        <v>110</v>
      </c>
      <c r="G2" s="91"/>
      <c r="H2" s="92"/>
      <c r="I2" s="92"/>
      <c r="J2" s="93"/>
      <c r="K2" s="94"/>
      <c r="L2" s="7"/>
      <c r="M2" s="2"/>
      <c r="N2" s="2"/>
      <c r="O2" s="4"/>
    </row>
    <row r="3" spans="1:42" ht="15" customHeight="1" thickBot="1" x14ac:dyDescent="0.25">
      <c r="A3" s="135" t="s">
        <v>46</v>
      </c>
      <c r="B3" s="137"/>
      <c r="C3" s="112">
        <v>44927</v>
      </c>
      <c r="D3" s="3"/>
      <c r="E3" s="83"/>
      <c r="F3" s="90" t="s">
        <v>109</v>
      </c>
      <c r="G3" s="92"/>
      <c r="H3" s="92"/>
      <c r="I3" s="92"/>
      <c r="J3" s="93"/>
      <c r="K3" s="94"/>
      <c r="L3" s="7"/>
      <c r="M3" s="2"/>
      <c r="N3" s="2"/>
      <c r="O3" s="4"/>
    </row>
    <row r="4" spans="1:42" ht="15.75" thickBot="1" x14ac:dyDescent="0.25">
      <c r="A4" s="135" t="s">
        <v>47</v>
      </c>
      <c r="B4" s="137"/>
      <c r="C4" s="112">
        <v>45200</v>
      </c>
      <c r="D4" s="3"/>
      <c r="E4" s="111"/>
      <c r="F4" s="90" t="s">
        <v>96</v>
      </c>
      <c r="G4" s="92"/>
      <c r="H4" s="92"/>
      <c r="I4" s="92"/>
      <c r="J4" s="93"/>
      <c r="K4" s="94"/>
      <c r="L4" s="3"/>
      <c r="M4" s="2"/>
      <c r="N4" s="2"/>
      <c r="O4" s="4"/>
    </row>
    <row r="5" spans="1:42" ht="15" customHeight="1" thickBot="1" x14ac:dyDescent="0.25">
      <c r="A5" s="130" t="s">
        <v>44</v>
      </c>
      <c r="B5" s="148"/>
      <c r="C5" s="11">
        <f>IF((DAYS360(C3,C4,TRUE))/30&lt;0,"",(DAYS360(C3,C4,))/30)</f>
        <v>9</v>
      </c>
      <c r="D5" s="3"/>
      <c r="E5" s="10"/>
      <c r="F5" s="3"/>
      <c r="G5" s="5"/>
      <c r="H5" s="3"/>
      <c r="I5" s="3"/>
      <c r="J5" s="7"/>
      <c r="K5" s="7"/>
      <c r="L5" s="6"/>
      <c r="O5" s="4"/>
    </row>
    <row r="6" spans="1:42" ht="15" thickBot="1" x14ac:dyDescent="0.25">
      <c r="A6" s="135" t="s">
        <v>53</v>
      </c>
      <c r="B6" s="136"/>
      <c r="C6" s="74">
        <v>34.79</v>
      </c>
      <c r="D6" s="3"/>
      <c r="E6" s="10"/>
      <c r="F6" s="3"/>
      <c r="G6" s="3"/>
      <c r="H6" s="3"/>
      <c r="I6" s="3"/>
      <c r="J6" s="7"/>
      <c r="K6" s="7"/>
      <c r="L6" s="6"/>
      <c r="O6" s="1"/>
    </row>
    <row r="7" spans="1:42" ht="15" thickBot="1" x14ac:dyDescent="0.25">
      <c r="A7" s="133" t="s">
        <v>54</v>
      </c>
      <c r="B7" s="134"/>
      <c r="C7" s="14">
        <v>3.2492999999999999</v>
      </c>
      <c r="D7" s="3"/>
      <c r="E7" s="10"/>
      <c r="F7" s="3"/>
      <c r="G7" s="3"/>
      <c r="H7" s="3"/>
      <c r="I7" s="3"/>
      <c r="J7" s="7"/>
      <c r="K7" s="7"/>
      <c r="L7" s="6"/>
      <c r="O7" s="1"/>
    </row>
    <row r="8" spans="1:42" ht="15" thickBot="1" x14ac:dyDescent="0.25">
      <c r="A8" s="130" t="s">
        <v>55</v>
      </c>
      <c r="B8" s="131"/>
      <c r="C8" s="99">
        <f>SUM(Q:Q)</f>
        <v>362699</v>
      </c>
      <c r="D8" s="3"/>
      <c r="E8" s="10"/>
      <c r="F8" s="3"/>
      <c r="L8" s="6"/>
    </row>
    <row r="9" spans="1:42" ht="13.5" thickBot="1" x14ac:dyDescent="0.25">
      <c r="A9" s="130" t="s">
        <v>79</v>
      </c>
      <c r="B9" s="131"/>
      <c r="C9" s="12">
        <f>SUM(P:P)</f>
        <v>362699</v>
      </c>
      <c r="E9" s="75">
        <v>1</v>
      </c>
      <c r="F9" s="135" t="s">
        <v>57</v>
      </c>
      <c r="G9" s="136"/>
      <c r="H9" s="137"/>
      <c r="L9" s="6"/>
      <c r="V9" s="6" t="str">
        <f>IF(C5&gt;0,"Csak a kék háttérrel jelőlt fejlécekhez tartozó oszlopba kell beírni adatokat!"," ")</f>
        <v>Csak a kék háttérrel jelőlt fejlécekhez tartozó oszlopba kell beírni adatokat!</v>
      </c>
    </row>
    <row r="10" spans="1:42" ht="13.5" thickBot="1" x14ac:dyDescent="0.25">
      <c r="A10" s="132" t="s">
        <v>80</v>
      </c>
      <c r="B10" s="131"/>
      <c r="C10" s="12">
        <f>ROUND(C9*$E$10,0)</f>
        <v>471509</v>
      </c>
      <c r="E10" s="75">
        <v>1.3</v>
      </c>
      <c r="F10" s="135" t="s">
        <v>73</v>
      </c>
      <c r="G10" s="136"/>
      <c r="H10" s="137"/>
      <c r="L10" s="6"/>
    </row>
    <row r="11" spans="1:42" ht="13.5" thickBot="1" x14ac:dyDescent="0.25">
      <c r="A11" s="133" t="s">
        <v>56</v>
      </c>
      <c r="B11" s="134"/>
      <c r="C11" s="13">
        <f>COUNTA(E:E)-3</f>
        <v>1</v>
      </c>
      <c r="L11" s="6"/>
      <c r="M11" s="138" t="s">
        <v>78</v>
      </c>
      <c r="N11" s="139"/>
    </row>
    <row r="12" spans="1:42" ht="15.75" customHeight="1" thickBot="1" x14ac:dyDescent="0.25">
      <c r="M12" s="140"/>
      <c r="N12" s="141"/>
      <c r="R12" s="124" t="s">
        <v>75</v>
      </c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6"/>
      <c r="AD12" s="127" t="s">
        <v>14</v>
      </c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9"/>
    </row>
    <row r="13" spans="1:42" ht="119.25" x14ac:dyDescent="0.2">
      <c r="A13" s="100" t="s">
        <v>9</v>
      </c>
      <c r="B13" s="100" t="s">
        <v>10</v>
      </c>
      <c r="C13" s="100" t="s">
        <v>11</v>
      </c>
      <c r="D13" s="100" t="s">
        <v>12</v>
      </c>
      <c r="E13" s="100" t="s">
        <v>13</v>
      </c>
      <c r="F13" s="100" t="s">
        <v>50</v>
      </c>
      <c r="G13" s="100" t="s">
        <v>16</v>
      </c>
      <c r="H13" s="100" t="s">
        <v>21</v>
      </c>
      <c r="I13" s="100" t="s">
        <v>15</v>
      </c>
      <c r="J13" s="100" t="s">
        <v>97</v>
      </c>
      <c r="K13" s="101" t="s">
        <v>51</v>
      </c>
      <c r="L13" s="102" t="s">
        <v>88</v>
      </c>
      <c r="M13" s="100" t="s">
        <v>89</v>
      </c>
      <c r="N13" s="101" t="s">
        <v>90</v>
      </c>
      <c r="O13" s="103" t="s">
        <v>91</v>
      </c>
      <c r="P13" s="100" t="s">
        <v>95</v>
      </c>
      <c r="Q13" s="104" t="s">
        <v>14</v>
      </c>
      <c r="R13" s="116">
        <v>44927</v>
      </c>
      <c r="S13" s="116">
        <v>44958</v>
      </c>
      <c r="T13" s="116">
        <v>44986</v>
      </c>
      <c r="U13" s="116">
        <v>45017</v>
      </c>
      <c r="V13" s="116">
        <v>45047</v>
      </c>
      <c r="W13" s="116">
        <v>45078</v>
      </c>
      <c r="X13" s="116">
        <v>45108</v>
      </c>
      <c r="Y13" s="116">
        <v>45139</v>
      </c>
      <c r="Z13" s="118">
        <v>45170</v>
      </c>
      <c r="AA13" s="116">
        <v>45200</v>
      </c>
      <c r="AB13" s="116">
        <v>45231</v>
      </c>
      <c r="AC13" s="117">
        <v>45261</v>
      </c>
      <c r="AD13" s="107">
        <v>44927</v>
      </c>
      <c r="AE13" s="107">
        <v>44958</v>
      </c>
      <c r="AF13" s="108">
        <v>44986</v>
      </c>
      <c r="AG13" s="107">
        <v>45017</v>
      </c>
      <c r="AH13" s="108">
        <v>45047</v>
      </c>
      <c r="AI13" s="107">
        <v>45078</v>
      </c>
      <c r="AJ13" s="108">
        <v>45108</v>
      </c>
      <c r="AK13" s="107">
        <v>45139</v>
      </c>
      <c r="AL13" s="109">
        <v>45170</v>
      </c>
      <c r="AM13" s="108">
        <v>45200</v>
      </c>
      <c r="AN13" s="107">
        <v>45231</v>
      </c>
      <c r="AO13" s="109">
        <v>45261</v>
      </c>
    </row>
    <row r="14" spans="1:42" x14ac:dyDescent="0.2">
      <c r="A14" s="76" t="s">
        <v>105</v>
      </c>
      <c r="B14" s="76" t="s">
        <v>106</v>
      </c>
      <c r="C14" s="76" t="s">
        <v>112</v>
      </c>
      <c r="D14" s="76" t="s">
        <v>113</v>
      </c>
      <c r="E14" s="76" t="s">
        <v>108</v>
      </c>
      <c r="F14" s="76" t="s">
        <v>107</v>
      </c>
      <c r="G14" s="76" t="s">
        <v>111</v>
      </c>
      <c r="H14" s="68" t="str">
        <f>IF(E14="","",VLOOKUP(LEFT(E14,5),'Technikai cellák'!B:C,2,0))</f>
        <v>E.ON Dél-dunántúli Gázhálózati Zrt.</v>
      </c>
      <c r="I14" s="68" t="str">
        <f>IF(E14="","",VLOOKUP(H14,'Technikai cellák'!$C$1:$D$12,2,0))</f>
        <v>7626 Pécs, Búza tér 8/a</v>
      </c>
      <c r="J14" s="114">
        <v>56</v>
      </c>
      <c r="K14" s="85" t="str">
        <f>IF(J14="","",IF(J14&lt;20,"20 alatti",IF(J14&lt;100,"20-99",IF(J14&lt;500,"100-500","500-"))))</f>
        <v>20-99</v>
      </c>
      <c r="L14" s="86">
        <f>ROUND(IF(K14="20 alatti",J14*1,0),0)</f>
        <v>0</v>
      </c>
      <c r="M14" s="84">
        <f>ROUND(IF(K14="20-99",J14*10.5,0),0)</f>
        <v>588</v>
      </c>
      <c r="N14" s="98">
        <v>588</v>
      </c>
      <c r="O14" s="88">
        <f>ROUND((IF(J14&lt;100,0,J14*$C$6)/$C$7),0)</f>
        <v>0</v>
      </c>
      <c r="P14" s="87">
        <f>ROUND(Q14*$E$9,0)</f>
        <v>362699</v>
      </c>
      <c r="Q14" s="79">
        <f>SUM(AD14:AL14)</f>
        <v>362699</v>
      </c>
      <c r="R14" s="78">
        <v>10985</v>
      </c>
      <c r="S14" s="77">
        <v>9480</v>
      </c>
      <c r="T14" s="77">
        <v>6215</v>
      </c>
      <c r="U14" s="77">
        <v>4240</v>
      </c>
      <c r="V14" s="77">
        <v>1000</v>
      </c>
      <c r="W14" s="77">
        <v>380</v>
      </c>
      <c r="X14" s="77">
        <v>520</v>
      </c>
      <c r="Y14" s="77">
        <v>440</v>
      </c>
      <c r="Z14" s="77">
        <v>615</v>
      </c>
      <c r="AA14" s="78">
        <v>3925</v>
      </c>
      <c r="AB14" s="77">
        <v>6920</v>
      </c>
      <c r="AC14" s="81">
        <v>9400</v>
      </c>
      <c r="AD14" s="80">
        <f t="shared" ref="AD14:AD17" si="0">ROUND((R14*$C$6)/$C$7,0)</f>
        <v>117616</v>
      </c>
      <c r="AE14" s="69">
        <f t="shared" ref="AE14:AE17" si="1">ROUND((S14*$C$6)/$C$7,0)</f>
        <v>101502</v>
      </c>
      <c r="AF14" s="69">
        <f t="shared" ref="AF14:AF17" si="2">ROUND((T14*$C$6)/$C$7,0)</f>
        <v>66544</v>
      </c>
      <c r="AG14" s="69">
        <f t="shared" ref="AG14:AG17" si="3">ROUND((U14*$C$6)/$C$7,0)</f>
        <v>45397</v>
      </c>
      <c r="AH14" s="69">
        <f t="shared" ref="AH14:AH17" si="4">ROUND((V14*$C$6)/$C$7,0)</f>
        <v>10707</v>
      </c>
      <c r="AI14" s="69">
        <f t="shared" ref="AI14:AI17" si="5">ROUND((W14*$C$6)/$C$7,0)</f>
        <v>4069</v>
      </c>
      <c r="AJ14" s="69">
        <f t="shared" ref="AJ14:AJ17" si="6">ROUND((X14*$C$6)/$C$7,0)</f>
        <v>5568</v>
      </c>
      <c r="AK14" s="69">
        <f t="shared" ref="AK14:AK17" si="7">ROUND((Y14*$C$6)/$C$7,0)</f>
        <v>4711</v>
      </c>
      <c r="AL14" s="69">
        <f t="shared" ref="AL14:AL17" si="8">ROUND((Z14*$C$6)/$C$7,0)</f>
        <v>6585</v>
      </c>
      <c r="AM14" s="69">
        <f t="shared" ref="AM14:AM17" si="9">ROUND((AA14*$C$6)/$C$7,0)</f>
        <v>42025</v>
      </c>
      <c r="AN14" s="69">
        <f t="shared" ref="AN14:AN17" si="10">ROUND((AB14*$C$6)/$C$7,0)</f>
        <v>74092</v>
      </c>
      <c r="AO14" s="110">
        <f t="shared" ref="AO14:AO17" si="11">ROUND((AC14*$C$6)/$C$7,0)</f>
        <v>100645</v>
      </c>
      <c r="AP14" s="115">
        <f t="shared" ref="AP14:AP17" si="12">SUM(R14:AC14)</f>
        <v>54120</v>
      </c>
    </row>
    <row r="15" spans="1:42" x14ac:dyDescent="0.2">
      <c r="A15" s="76"/>
      <c r="B15" s="76"/>
      <c r="C15" s="76"/>
      <c r="D15" s="76"/>
      <c r="E15" s="76"/>
      <c r="F15" s="76"/>
      <c r="G15" s="76"/>
      <c r="H15" s="68" t="str">
        <f>IF(E15="","",VLOOKUP(LEFT(E15,5),'Technikai cellák'!B:C,2,0))</f>
        <v/>
      </c>
      <c r="I15" s="68" t="str">
        <f>IF(E15="","",VLOOKUP(H15,'Technikai cellák'!$C$1:$D$12,2,0))</f>
        <v/>
      </c>
      <c r="J15" s="114"/>
      <c r="K15" s="85" t="str">
        <f t="shared" ref="K15:K17" si="13">IF(J15="","",IF(J15&lt;20,"20 alatti",IF(J15&lt;100,"20-99",IF(J15&lt;500,"100-500","500-"))))</f>
        <v/>
      </c>
      <c r="L15" s="86">
        <f t="shared" ref="L15:L17" si="14">ROUND(IF(K15="20 alatti",J15*1,0),0)</f>
        <v>0</v>
      </c>
      <c r="M15" s="84">
        <f t="shared" ref="M15:M17" si="15">ROUND(IF(K15="20-99",J15*10.5,0),0)</f>
        <v>0</v>
      </c>
      <c r="N15" s="98"/>
      <c r="O15" s="88">
        <f t="shared" ref="O15:O17" si="16">ROUND((IF(J15&lt;100,0,J15*$C$6)/$C$7),0)</f>
        <v>0</v>
      </c>
      <c r="P15" s="87">
        <f t="shared" ref="P15:P17" si="17">ROUND(Q15*$E$9,0)</f>
        <v>0</v>
      </c>
      <c r="Q15" s="79">
        <f t="shared" ref="Q15:Q18" si="18">SUM(AD15:AO15)</f>
        <v>0</v>
      </c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80">
        <f t="shared" si="0"/>
        <v>0</v>
      </c>
      <c r="AE15" s="69">
        <f t="shared" si="1"/>
        <v>0</v>
      </c>
      <c r="AF15" s="69">
        <f t="shared" si="2"/>
        <v>0</v>
      </c>
      <c r="AG15" s="69">
        <f t="shared" si="3"/>
        <v>0</v>
      </c>
      <c r="AH15" s="69">
        <f t="shared" si="4"/>
        <v>0</v>
      </c>
      <c r="AI15" s="69">
        <f t="shared" si="5"/>
        <v>0</v>
      </c>
      <c r="AJ15" s="69">
        <f t="shared" si="6"/>
        <v>0</v>
      </c>
      <c r="AK15" s="69">
        <f t="shared" si="7"/>
        <v>0</v>
      </c>
      <c r="AL15" s="69">
        <f t="shared" si="8"/>
        <v>0</v>
      </c>
      <c r="AM15" s="69">
        <f t="shared" si="9"/>
        <v>0</v>
      </c>
      <c r="AN15" s="69">
        <f t="shared" si="10"/>
        <v>0</v>
      </c>
      <c r="AO15" s="110">
        <f t="shared" si="11"/>
        <v>0</v>
      </c>
      <c r="AP15" s="115">
        <f t="shared" si="12"/>
        <v>0</v>
      </c>
    </row>
    <row r="16" spans="1:42" x14ac:dyDescent="0.2">
      <c r="A16" s="76"/>
      <c r="B16" s="76"/>
      <c r="C16" s="76"/>
      <c r="D16" s="76"/>
      <c r="E16" s="76"/>
      <c r="F16" s="76"/>
      <c r="G16" s="76"/>
      <c r="H16" s="68" t="str">
        <f>IF(E16="","",VLOOKUP(LEFT(E16,5),'Technikai cellák'!B:C,2,0))</f>
        <v/>
      </c>
      <c r="I16" s="68" t="str">
        <f>IF(E16="","",VLOOKUP(H16,'Technikai cellák'!$C$1:$D$12,2,0))</f>
        <v/>
      </c>
      <c r="J16" s="114"/>
      <c r="K16" s="85" t="str">
        <f t="shared" si="13"/>
        <v/>
      </c>
      <c r="L16" s="86">
        <f t="shared" si="14"/>
        <v>0</v>
      </c>
      <c r="M16" s="84">
        <f t="shared" si="15"/>
        <v>0</v>
      </c>
      <c r="N16" s="98"/>
      <c r="O16" s="88">
        <f t="shared" si="16"/>
        <v>0</v>
      </c>
      <c r="P16" s="87">
        <f t="shared" si="17"/>
        <v>0</v>
      </c>
      <c r="Q16" s="79">
        <f t="shared" si="18"/>
        <v>0</v>
      </c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80">
        <f t="shared" si="0"/>
        <v>0</v>
      </c>
      <c r="AE16" s="69">
        <f t="shared" si="1"/>
        <v>0</v>
      </c>
      <c r="AF16" s="69">
        <f t="shared" si="2"/>
        <v>0</v>
      </c>
      <c r="AG16" s="69">
        <f t="shared" si="3"/>
        <v>0</v>
      </c>
      <c r="AH16" s="69">
        <f t="shared" si="4"/>
        <v>0</v>
      </c>
      <c r="AI16" s="69">
        <f t="shared" si="5"/>
        <v>0</v>
      </c>
      <c r="AJ16" s="69">
        <f t="shared" si="6"/>
        <v>0</v>
      </c>
      <c r="AK16" s="69">
        <f t="shared" si="7"/>
        <v>0</v>
      </c>
      <c r="AL16" s="69">
        <f t="shared" si="8"/>
        <v>0</v>
      </c>
      <c r="AM16" s="69">
        <f t="shared" si="9"/>
        <v>0</v>
      </c>
      <c r="AN16" s="69">
        <f t="shared" si="10"/>
        <v>0</v>
      </c>
      <c r="AO16" s="110">
        <f t="shared" si="11"/>
        <v>0</v>
      </c>
      <c r="AP16" s="115">
        <f t="shared" si="12"/>
        <v>0</v>
      </c>
    </row>
    <row r="17" spans="1:42" x14ac:dyDescent="0.2">
      <c r="A17" s="76"/>
      <c r="B17" s="76"/>
      <c r="C17" s="76"/>
      <c r="D17" s="76"/>
      <c r="E17" s="76"/>
      <c r="F17" s="76"/>
      <c r="G17" s="76"/>
      <c r="H17" s="68" t="str">
        <f>IF(E17="","",VLOOKUP(LEFT(E17,5),'Technikai cellák'!B:C,2,0))</f>
        <v/>
      </c>
      <c r="I17" s="68" t="str">
        <f>IF(E17="","",VLOOKUP(H17,'Technikai cellák'!$C$1:$D$12,2,0))</f>
        <v/>
      </c>
      <c r="J17" s="114"/>
      <c r="K17" s="85" t="str">
        <f t="shared" si="13"/>
        <v/>
      </c>
      <c r="L17" s="86">
        <f t="shared" si="14"/>
        <v>0</v>
      </c>
      <c r="M17" s="84">
        <f t="shared" si="15"/>
        <v>0</v>
      </c>
      <c r="N17" s="98"/>
      <c r="O17" s="88">
        <f t="shared" si="16"/>
        <v>0</v>
      </c>
      <c r="P17" s="87">
        <f t="shared" si="17"/>
        <v>0</v>
      </c>
      <c r="Q17" s="79">
        <f t="shared" si="18"/>
        <v>0</v>
      </c>
      <c r="R17" s="77"/>
      <c r="S17" s="77"/>
      <c r="T17" s="77"/>
      <c r="U17" s="77"/>
      <c r="V17" s="77"/>
      <c r="W17" s="77"/>
      <c r="X17" s="77"/>
      <c r="Y17" s="77"/>
      <c r="Z17" s="77"/>
      <c r="AA17" s="78"/>
      <c r="AB17" s="77"/>
      <c r="AC17" s="81"/>
      <c r="AD17" s="80">
        <f t="shared" si="0"/>
        <v>0</v>
      </c>
      <c r="AE17" s="69">
        <f t="shared" si="1"/>
        <v>0</v>
      </c>
      <c r="AF17" s="69">
        <f t="shared" si="2"/>
        <v>0</v>
      </c>
      <c r="AG17" s="69">
        <f t="shared" si="3"/>
        <v>0</v>
      </c>
      <c r="AH17" s="69">
        <f t="shared" si="4"/>
        <v>0</v>
      </c>
      <c r="AI17" s="69">
        <f t="shared" si="5"/>
        <v>0</v>
      </c>
      <c r="AJ17" s="69">
        <f t="shared" si="6"/>
        <v>0</v>
      </c>
      <c r="AK17" s="69">
        <f t="shared" si="7"/>
        <v>0</v>
      </c>
      <c r="AL17" s="69">
        <f t="shared" si="8"/>
        <v>0</v>
      </c>
      <c r="AM17" s="69">
        <f t="shared" si="9"/>
        <v>0</v>
      </c>
      <c r="AN17" s="69">
        <f t="shared" si="10"/>
        <v>0</v>
      </c>
      <c r="AO17" s="110">
        <f t="shared" si="11"/>
        <v>0</v>
      </c>
      <c r="AP17" s="115">
        <f t="shared" si="12"/>
        <v>0</v>
      </c>
    </row>
    <row r="18" spans="1:42" x14ac:dyDescent="0.2">
      <c r="A18" s="6" t="s">
        <v>87</v>
      </c>
      <c r="B18" s="6" t="s">
        <v>87</v>
      </c>
      <c r="C18" s="6" t="s">
        <v>87</v>
      </c>
      <c r="D18" s="6" t="s">
        <v>87</v>
      </c>
      <c r="F18" s="6" t="s">
        <v>87</v>
      </c>
      <c r="G18" s="6" t="s">
        <v>87</v>
      </c>
      <c r="H18" s="6" t="s">
        <v>87</v>
      </c>
      <c r="I18" s="6" t="s">
        <v>87</v>
      </c>
      <c r="J18" s="6" t="s">
        <v>87</v>
      </c>
      <c r="K18" s="6" t="s">
        <v>87</v>
      </c>
      <c r="L18" s="6" t="s">
        <v>87</v>
      </c>
      <c r="M18" s="6" t="s">
        <v>87</v>
      </c>
      <c r="N18" s="6" t="s">
        <v>87</v>
      </c>
      <c r="O18" s="6" t="s">
        <v>87</v>
      </c>
      <c r="P18" s="6" t="s">
        <v>87</v>
      </c>
      <c r="Q18" s="79">
        <f t="shared" si="18"/>
        <v>0</v>
      </c>
      <c r="R18" s="6" t="s">
        <v>87</v>
      </c>
      <c r="S18" s="6" t="s">
        <v>87</v>
      </c>
      <c r="T18" s="6" t="s">
        <v>87</v>
      </c>
      <c r="U18" s="6" t="s">
        <v>87</v>
      </c>
      <c r="V18" s="6" t="s">
        <v>87</v>
      </c>
      <c r="W18" s="6" t="s">
        <v>87</v>
      </c>
      <c r="X18" s="6" t="s">
        <v>87</v>
      </c>
      <c r="Y18" s="6" t="s">
        <v>87</v>
      </c>
      <c r="Z18" s="6" t="s">
        <v>87</v>
      </c>
      <c r="AA18" s="6" t="s">
        <v>87</v>
      </c>
      <c r="AB18" s="6" t="s">
        <v>87</v>
      </c>
      <c r="AC18" s="6" t="s">
        <v>87</v>
      </c>
      <c r="AD18" s="6" t="s">
        <v>87</v>
      </c>
      <c r="AE18" s="6" t="s">
        <v>87</v>
      </c>
      <c r="AF18" s="6" t="s">
        <v>87</v>
      </c>
      <c r="AG18" s="6" t="s">
        <v>87</v>
      </c>
      <c r="AH18" s="6" t="s">
        <v>87</v>
      </c>
      <c r="AI18" s="6" t="s">
        <v>87</v>
      </c>
      <c r="AJ18" s="6" t="s">
        <v>87</v>
      </c>
      <c r="AK18" s="6" t="s">
        <v>87</v>
      </c>
      <c r="AL18" s="6" t="s">
        <v>87</v>
      </c>
      <c r="AM18" s="6" t="s">
        <v>87</v>
      </c>
      <c r="AN18" s="6" t="s">
        <v>87</v>
      </c>
      <c r="AO18" s="6" t="s">
        <v>87</v>
      </c>
    </row>
  </sheetData>
  <autoFilter ref="A13:AO18" xr:uid="{00000000-0009-0000-0000-000000000000}"/>
  <mergeCells count="16">
    <mergeCell ref="A6:B6"/>
    <mergeCell ref="A7:B7"/>
    <mergeCell ref="A1:C1"/>
    <mergeCell ref="A2:C2"/>
    <mergeCell ref="A3:B3"/>
    <mergeCell ref="A4:B4"/>
    <mergeCell ref="A5:B5"/>
    <mergeCell ref="R12:AC12"/>
    <mergeCell ref="AD12:AO12"/>
    <mergeCell ref="A8:B8"/>
    <mergeCell ref="A9:B9"/>
    <mergeCell ref="A10:B10"/>
    <mergeCell ref="A11:B11"/>
    <mergeCell ref="F9:H9"/>
    <mergeCell ref="F10:H10"/>
    <mergeCell ref="M11:N12"/>
  </mergeCells>
  <conditionalFormatting sqref="O14:O17">
    <cfRule type="expression" dxfId="15" priority="33">
      <formula>AND($K14&lt;&gt;"100-500",K14&lt;&gt;"500-")</formula>
    </cfRule>
  </conditionalFormatting>
  <conditionalFormatting sqref="L14:L17">
    <cfRule type="expression" dxfId="14" priority="32">
      <formula>$K14&lt;&gt;"20 alatti"</formula>
    </cfRule>
  </conditionalFormatting>
  <conditionalFormatting sqref="M14:N17">
    <cfRule type="expression" dxfId="13" priority="31" stopIfTrue="1">
      <formula>$K14&lt;&gt;"20-99"</formula>
    </cfRule>
  </conditionalFormatting>
  <conditionalFormatting sqref="R13:AC13">
    <cfRule type="expression" dxfId="12" priority="22">
      <formula>+AND($C$3&lt;=R13,R13&lt;$C$4)</formula>
    </cfRule>
  </conditionalFormatting>
  <conditionalFormatting sqref="D4">
    <cfRule type="cellIs" dxfId="11" priority="15" operator="equal">
      <formula>"Nincs meg az egy év!"</formula>
    </cfRule>
  </conditionalFormatting>
  <conditionalFormatting sqref="V9">
    <cfRule type="cellIs" dxfId="10" priority="14" operator="equal">
      <formula>"Csak a kék háttérrel jelőlt fejlécekhez tartozó oszlopban adhat meg adatokat!"</formula>
    </cfRule>
  </conditionalFormatting>
  <conditionalFormatting sqref="E15:E16">
    <cfRule type="duplicateValues" dxfId="9" priority="6"/>
  </conditionalFormatting>
  <conditionalFormatting sqref="E15:E16">
    <cfRule type="duplicateValues" dxfId="8" priority="43"/>
    <cfRule type="duplicateValues" dxfId="7" priority="44"/>
  </conditionalFormatting>
  <conditionalFormatting sqref="E15:E16">
    <cfRule type="duplicateValues" dxfId="6" priority="51"/>
    <cfRule type="duplicateValues" dxfId="5" priority="52"/>
  </conditionalFormatting>
  <dataValidations count="8">
    <dataValidation type="custom" allowBlank="1" showInputMessage="1" showErrorMessage="1" sqref="E15:E17" xr:uid="{00000000-0002-0000-0000-000000000000}">
      <formula1>LEN(E15)=16</formula1>
    </dataValidation>
    <dataValidation type="decimal" operator="lessThanOrEqual" allowBlank="1" showInputMessage="1" showErrorMessage="1" error="Túl magas érték!!!" sqref="E9" xr:uid="{00000000-0002-0000-0000-000001000000}">
      <formula1>1</formula1>
    </dataValidation>
    <dataValidation type="date" allowBlank="1" showInputMessage="1" showErrorMessage="1" errorTitle="HIBA" error="Túl korai vagy késői kezdés időpont" sqref="C3" xr:uid="{00000000-0002-0000-0000-000002000000}">
      <formula1>44470</formula1>
      <formula2>45566</formula2>
    </dataValidation>
    <dataValidation type="date" allowBlank="1" showInputMessage="1" showErrorMessage="1" errorTitle="HIBA" error="Túl korai vagy késői záró dátum" sqref="C4" xr:uid="{00000000-0002-0000-0000-000003000000}">
      <formula1>44470</formula1>
      <formula2>45566</formula2>
    </dataValidation>
    <dataValidation operator="greaterThanOrEqual" allowBlank="1" showInputMessage="1" showErrorMessage="1" errorTitle="HIBA" error="Túl rövid időszak" sqref="C5" xr:uid="{00000000-0002-0000-0000-000004000000}"/>
    <dataValidation type="custom" allowBlank="1" showInputMessage="1" showErrorMessage="1" errorTitle="Érvénytelen adat" error="A megadott kategória besorolásra tekintettel a cellát kérjük üresen hagyni! " sqref="L14:L17" xr:uid="{00000000-0002-0000-0000-000005000000}">
      <formula1>"K14=""20 alatti"""</formula1>
    </dataValidation>
    <dataValidation type="custom" allowBlank="1" showInputMessage="1" showErrorMessage="1" errorTitle="Érvénytelen adat!" error="A megadott kategória besorolásra tekintettel a cellát kérjük üresen hagyni!" sqref="O14:O17" xr:uid="{00000000-0002-0000-0000-000006000000}">
      <formula1>OR(K14="100-500",K14="500-")</formula1>
    </dataValidation>
    <dataValidation type="custom" allowBlank="1" showInputMessage="1" showErrorMessage="1" errorTitle="Érvénytelen adat" error="Kisebb vagy egyenlő az &quot;M&quot; oszlopban szereplő értéknél " sqref="N14:N17" xr:uid="{00000000-0002-0000-0000-000007000000}">
      <formula1>N14&lt;=M14</formula1>
    </dataValidation>
  </dataValidations>
  <printOptions heading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7DF6E"/>
    <pageSetUpPr fitToPage="1"/>
  </sheetPr>
  <dimension ref="A1:O25"/>
  <sheetViews>
    <sheetView showGridLines="0" tabSelected="1" zoomScale="70" zoomScaleNormal="70" workbookViewId="0">
      <pane xSplit="4" ySplit="21" topLeftCell="E22" activePane="bottomRight" state="frozen"/>
      <selection pane="topRight" activeCell="E1" sqref="E1"/>
      <selection pane="bottomLeft" activeCell="A22" sqref="A22"/>
      <selection pane="bottomRight" activeCell="D18" sqref="D18"/>
    </sheetView>
  </sheetViews>
  <sheetFormatPr defaultColWidth="9.140625" defaultRowHeight="14.25" x14ac:dyDescent="0.2"/>
  <cols>
    <col min="1" max="1" width="25.5703125" style="18" customWidth="1"/>
    <col min="2" max="2" width="10" style="18" customWidth="1"/>
    <col min="3" max="3" width="44.140625" style="18" customWidth="1"/>
    <col min="4" max="4" width="23.140625" style="18" customWidth="1"/>
    <col min="5" max="5" width="19.42578125" style="18" customWidth="1"/>
    <col min="6" max="6" width="32.5703125" style="19" customWidth="1"/>
    <col min="7" max="8" width="20" style="19" customWidth="1"/>
    <col min="9" max="10" width="23.5703125" style="18" customWidth="1"/>
    <col min="11" max="11" width="20.7109375" style="18" customWidth="1"/>
    <col min="12" max="12" width="24.85546875" style="18" customWidth="1"/>
    <col min="13" max="13" width="15.5703125" style="18" customWidth="1"/>
    <col min="14" max="14" width="14.85546875" style="18" bestFit="1" customWidth="1"/>
    <col min="15" max="15" width="17.42578125" style="18" bestFit="1" customWidth="1"/>
    <col min="16" max="16384" width="9.140625" style="18"/>
  </cols>
  <sheetData>
    <row r="1" spans="1:12" ht="15.75" thickBot="1" x14ac:dyDescent="0.25">
      <c r="A1" s="176" t="s">
        <v>19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8"/>
    </row>
    <row r="2" spans="1:12" ht="15" customHeight="1" x14ac:dyDescent="0.2">
      <c r="A2" s="179" t="s">
        <v>102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1"/>
    </row>
    <row r="3" spans="1:12" ht="15" customHeight="1" thickBot="1" x14ac:dyDescent="0.25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4"/>
    </row>
    <row r="4" spans="1:12" ht="15" customHeight="1" thickBo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5" customHeight="1" thickBot="1" x14ac:dyDescent="0.25">
      <c r="A5" s="192" t="s">
        <v>46</v>
      </c>
      <c r="B5" s="193"/>
      <c r="C5" s="193"/>
      <c r="D5" s="52">
        <f>'Műszaki adattábla'!C3</f>
        <v>44927</v>
      </c>
      <c r="E5" s="51"/>
      <c r="F5" s="47"/>
      <c r="G5" s="47"/>
      <c r="H5" s="47"/>
      <c r="I5" s="48" t="s">
        <v>71</v>
      </c>
      <c r="J5" s="191"/>
      <c r="K5" s="191"/>
      <c r="L5" s="191"/>
    </row>
    <row r="6" spans="1:12" ht="15" customHeight="1" thickBot="1" x14ac:dyDescent="0.25">
      <c r="A6" s="192" t="s">
        <v>47</v>
      </c>
      <c r="B6" s="193"/>
      <c r="C6" s="193"/>
      <c r="D6" s="52">
        <f>'Műszaki adattábla'!C4</f>
        <v>45200</v>
      </c>
      <c r="E6" s="51"/>
      <c r="F6" s="47"/>
      <c r="G6" s="47"/>
      <c r="H6" s="47"/>
      <c r="I6" s="48" t="s">
        <v>72</v>
      </c>
      <c r="J6" s="191"/>
      <c r="K6" s="191"/>
      <c r="L6" s="191"/>
    </row>
    <row r="7" spans="1:12" ht="15" customHeight="1" thickBot="1" x14ac:dyDescent="0.25">
      <c r="A7" s="192" t="s">
        <v>44</v>
      </c>
      <c r="B7" s="193"/>
      <c r="C7" s="193"/>
      <c r="D7" s="53">
        <f>'Műszaki adattábla'!C5</f>
        <v>9</v>
      </c>
      <c r="E7" s="51"/>
      <c r="F7" s="47"/>
      <c r="G7" s="47"/>
      <c r="H7" s="47"/>
      <c r="I7" s="49"/>
      <c r="J7" s="50"/>
      <c r="K7" s="50"/>
      <c r="L7" s="50"/>
    </row>
    <row r="8" spans="1:12" ht="29.25" customHeight="1" thickBot="1" x14ac:dyDescent="0.25">
      <c r="A8" s="192" t="s">
        <v>99</v>
      </c>
      <c r="B8" s="193"/>
      <c r="C8" s="193"/>
      <c r="D8" s="54">
        <f>SUM(E$22:E$25)</f>
        <v>362699</v>
      </c>
      <c r="E8" s="51"/>
      <c r="F8" s="89" t="s">
        <v>77</v>
      </c>
      <c r="G8" s="47"/>
      <c r="H8" s="47"/>
      <c r="I8" s="185" t="str">
        <f ca="1">CONCATENATE(J5," ", 'Technikai cellák'!A8, " ", "hónapra maximalizált földgáz termék ára (GE23max) (molekula díj) - Ft/kWh")</f>
        <v xml:space="preserve"> 2022. november hónapra maximalizált földgáz termék ára (GE23max) (molekula díj) - Ft/kWh</v>
      </c>
      <c r="J8" s="186"/>
      <c r="K8" s="186"/>
      <c r="L8" s="187"/>
    </row>
    <row r="9" spans="1:12" ht="15" customHeight="1" thickBot="1" x14ac:dyDescent="0.25">
      <c r="A9" s="46"/>
      <c r="B9" s="47"/>
      <c r="C9" s="47"/>
      <c r="D9" s="55"/>
      <c r="E9" s="51"/>
      <c r="F9" s="60"/>
      <c r="G9" s="47"/>
      <c r="H9" s="47"/>
      <c r="I9" s="188">
        <v>100</v>
      </c>
      <c r="J9" s="189"/>
      <c r="K9" s="189"/>
      <c r="L9" s="190"/>
    </row>
    <row r="10" spans="1:12" ht="15" customHeight="1" thickBot="1" x14ac:dyDescent="0.25">
      <c r="A10" s="151" t="s">
        <v>81</v>
      </c>
      <c r="B10" s="151"/>
      <c r="C10" s="152"/>
      <c r="D10" s="95">
        <v>67.334000000000003</v>
      </c>
      <c r="E10" s="96"/>
      <c r="F10" s="73" t="str">
        <f>IF(D10&lt;=I9,"megfelelő",IF(D10&gt;I9,"magas ár"))</f>
        <v>megfelelő</v>
      </c>
      <c r="G10" s="47"/>
      <c r="H10" s="47"/>
      <c r="I10" s="47"/>
      <c r="J10" s="47"/>
      <c r="K10" s="47"/>
      <c r="L10" s="47"/>
    </row>
    <row r="11" spans="1:12" ht="15" customHeight="1" thickBot="1" x14ac:dyDescent="0.25">
      <c r="A11" s="46"/>
      <c r="B11" s="47"/>
      <c r="C11" s="47"/>
      <c r="D11" s="47"/>
      <c r="E11" s="51"/>
      <c r="F11" s="47"/>
      <c r="G11" s="47"/>
      <c r="H11" s="47"/>
      <c r="I11" s="47"/>
      <c r="J11" s="47"/>
      <c r="K11" s="47"/>
      <c r="L11" s="47"/>
    </row>
    <row r="12" spans="1:12" ht="15" customHeight="1" thickBot="1" x14ac:dyDescent="0.25">
      <c r="A12" s="174" t="s">
        <v>100</v>
      </c>
      <c r="B12" s="175"/>
      <c r="C12" s="175"/>
      <c r="D12" s="56">
        <f>ROUND(D8*D10,0)</f>
        <v>24421974</v>
      </c>
      <c r="E12" s="51"/>
      <c r="G12" s="47"/>
      <c r="H12" s="47"/>
      <c r="I12" s="105" t="s">
        <v>82</v>
      </c>
      <c r="J12" s="47"/>
      <c r="K12" s="47"/>
      <c r="L12" s="47"/>
    </row>
    <row r="13" spans="1:12" ht="15" customHeight="1" thickBot="1" x14ac:dyDescent="0.3">
      <c r="A13" s="174" t="s">
        <v>69</v>
      </c>
      <c r="B13" s="175"/>
      <c r="C13" s="175"/>
      <c r="D13" s="56">
        <f>SUM(K:K)</f>
        <v>1482650</v>
      </c>
      <c r="E13" s="51"/>
      <c r="F13" s="47"/>
      <c r="G13" s="47"/>
      <c r="H13" s="47"/>
      <c r="I13" s="59"/>
      <c r="J13" s="163" t="s">
        <v>3</v>
      </c>
      <c r="K13" s="164"/>
      <c r="L13" s="165"/>
    </row>
    <row r="14" spans="1:12" ht="15" customHeight="1" thickBot="1" x14ac:dyDescent="0.3">
      <c r="A14" s="149" t="s">
        <v>101</v>
      </c>
      <c r="B14" s="150"/>
      <c r="C14" s="150"/>
      <c r="D14" s="57">
        <f>SUM(L:L)</f>
        <v>350279</v>
      </c>
      <c r="E14" s="51"/>
      <c r="F14" s="47"/>
      <c r="G14" s="47"/>
      <c r="H14" s="47"/>
      <c r="I14" s="61"/>
      <c r="J14" s="20" t="s">
        <v>76</v>
      </c>
      <c r="K14" s="21"/>
      <c r="L14" s="22"/>
    </row>
    <row r="15" spans="1:12" ht="15" customHeight="1" thickBot="1" x14ac:dyDescent="0.3">
      <c r="A15" s="46"/>
      <c r="B15" s="47"/>
      <c r="C15" s="47"/>
      <c r="D15" s="47"/>
      <c r="E15" s="51"/>
      <c r="F15" s="47"/>
      <c r="G15" s="47"/>
      <c r="H15" s="47"/>
      <c r="I15" s="60"/>
      <c r="J15" s="166" t="s">
        <v>2</v>
      </c>
      <c r="K15" s="167"/>
      <c r="L15" s="159"/>
    </row>
    <row r="16" spans="1:12" ht="15.75" thickTop="1" x14ac:dyDescent="0.25">
      <c r="A16" s="171" t="s">
        <v>74</v>
      </c>
      <c r="B16" s="172"/>
      <c r="C16" s="172"/>
      <c r="D16" s="173"/>
      <c r="E16" s="51"/>
      <c r="F16" s="71"/>
      <c r="G16" s="47"/>
      <c r="H16" s="47"/>
      <c r="I16" s="65"/>
      <c r="J16" s="157" t="s">
        <v>70</v>
      </c>
      <c r="K16" s="158"/>
      <c r="L16" s="159"/>
    </row>
    <row r="17" spans="1:15" ht="15" customHeight="1" thickBot="1" x14ac:dyDescent="0.3">
      <c r="A17" s="153" t="s">
        <v>84</v>
      </c>
      <c r="B17" s="154"/>
      <c r="C17" s="154"/>
      <c r="D17" s="70">
        <f>ROUND(D18/D8,3)</f>
        <v>72.388000000000005</v>
      </c>
      <c r="E17" s="51"/>
      <c r="F17" s="72"/>
      <c r="G17" s="47"/>
      <c r="H17" s="47"/>
      <c r="I17" s="23"/>
      <c r="J17" s="168" t="s">
        <v>48</v>
      </c>
      <c r="K17" s="169"/>
      <c r="L17" s="170"/>
    </row>
    <row r="18" spans="1:15" ht="15" customHeight="1" thickBot="1" x14ac:dyDescent="0.3">
      <c r="A18" s="155" t="s">
        <v>85</v>
      </c>
      <c r="B18" s="156"/>
      <c r="C18" s="156"/>
      <c r="D18" s="58">
        <f>SUM(D12:D14)</f>
        <v>26254903</v>
      </c>
      <c r="E18" s="51"/>
      <c r="F18" s="47"/>
      <c r="G18" s="47"/>
      <c r="H18" s="47"/>
      <c r="I18" s="24"/>
      <c r="J18" s="160" t="s">
        <v>20</v>
      </c>
      <c r="K18" s="161"/>
      <c r="L18" s="162"/>
    </row>
    <row r="19" spans="1:15" ht="15" customHeight="1" thickBot="1" x14ac:dyDescent="0.25">
      <c r="A19" s="46"/>
      <c r="B19" s="47"/>
      <c r="C19" s="47"/>
      <c r="D19" s="47"/>
      <c r="E19" s="51"/>
      <c r="F19" s="47"/>
      <c r="G19" s="47"/>
      <c r="H19" s="47"/>
      <c r="I19" s="47"/>
      <c r="J19" s="47"/>
      <c r="K19" s="47"/>
      <c r="L19" s="47"/>
    </row>
    <row r="20" spans="1:15" ht="15.75" thickBot="1" x14ac:dyDescent="0.25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4"/>
    </row>
    <row r="21" spans="1:15" ht="105.75" thickBot="1" x14ac:dyDescent="0.25">
      <c r="A21" s="25" t="s">
        <v>0</v>
      </c>
      <c r="B21" s="26" t="s">
        <v>67</v>
      </c>
      <c r="C21" s="27" t="s">
        <v>68</v>
      </c>
      <c r="D21" s="27" t="s">
        <v>1</v>
      </c>
      <c r="E21" s="28" t="s">
        <v>98</v>
      </c>
      <c r="F21" s="29" t="s">
        <v>92</v>
      </c>
      <c r="G21" s="29" t="s">
        <v>93</v>
      </c>
      <c r="H21" s="30" t="s">
        <v>94</v>
      </c>
      <c r="I21" s="31" t="s">
        <v>86</v>
      </c>
      <c r="J21" s="31" t="s">
        <v>45</v>
      </c>
      <c r="K21" s="106" t="s">
        <v>83</v>
      </c>
      <c r="L21" s="32" t="s">
        <v>49</v>
      </c>
    </row>
    <row r="22" spans="1:15" ht="30.75" thickBot="1" x14ac:dyDescent="0.3">
      <c r="A22" s="120" t="s">
        <v>105</v>
      </c>
      <c r="B22" s="33">
        <f>IF(D22="","",1)</f>
        <v>1</v>
      </c>
      <c r="C22" s="122" t="str">
        <f>IF(D22="","",VLOOKUP(D22,'Műszaki adattábla'!E:F,2,0))</f>
        <v>Martonvásár, Szent László út 2.</v>
      </c>
      <c r="D22" s="123" t="str">
        <f>IF('Műszaki adattábla'!E14="","",'Műszaki adattábla'!E14)</f>
        <v>39N030211345000I</v>
      </c>
      <c r="E22" s="36">
        <f>IF(D22="","",VLOOKUP(D22,'Műszaki adattábla'!E:Q,13,0))</f>
        <v>362699</v>
      </c>
      <c r="F22" s="37">
        <f>IF(D22="","",VLOOKUP(D22,'Műszaki adattábla'!E:L,8,0))</f>
        <v>0</v>
      </c>
      <c r="G22" s="121">
        <f>IF(D22="","",IF('Műszaki adattábla'!K14="20-99",IF('Műszaki adattábla'!N14="","Nem adott meg lekötött teljesítményt",VLOOKUP(D22,'Műszaki adattábla'!E:N,10,0)),0))</f>
        <v>588</v>
      </c>
      <c r="H22" s="38">
        <f>IF(D22="","",VLOOKUP(D22,'Műszaki adattábla'!E:O,11,0))</f>
        <v>0</v>
      </c>
      <c r="I22" s="39">
        <v>3362.018</v>
      </c>
      <c r="J22" s="39">
        <v>965.75699999999995</v>
      </c>
      <c r="K22" s="41">
        <f>IF(D22="","",ROUND(((F22*I22*'Műszaki adattábla'!$C$6/'Műszaki adattábla'!$C$7)+(G22*I22)+(H22*I22))/12*$D$7,0))</f>
        <v>1482650</v>
      </c>
      <c r="L22" s="42">
        <f t="shared" ref="L22:L25" si="0">IF(D22="","",ROUND((J22/1000)*E22,0))</f>
        <v>350279</v>
      </c>
      <c r="M22" s="43"/>
      <c r="N22" s="44"/>
      <c r="O22" s="44"/>
    </row>
    <row r="23" spans="1:15" ht="15.75" thickBot="1" x14ac:dyDescent="0.3">
      <c r="A23" s="119"/>
      <c r="B23" s="33" t="str">
        <f>IF(D23="","",B22+1)</f>
        <v/>
      </c>
      <c r="C23" s="34" t="str">
        <f>IF(D23="","",VLOOKUP(D23,'Műszaki adattábla'!E:F,2,0))</f>
        <v/>
      </c>
      <c r="D23" s="35" t="str">
        <f>IF('Műszaki adattábla'!E15="","",'Műszaki adattábla'!E15)</f>
        <v/>
      </c>
      <c r="E23" s="36" t="str">
        <f>IF(D23="","",VLOOKUP(D23,'Műszaki adattábla'!E:Q,13,0))</f>
        <v/>
      </c>
      <c r="F23" s="37" t="str">
        <f>IF(D23="","",VLOOKUP(D23,'Műszaki adattábla'!E:L,8,0))</f>
        <v/>
      </c>
      <c r="G23" s="97" t="str">
        <f>IF(D23="","",IF('Műszaki adattábla'!K15="20-99",IF('Műszaki adattábla'!N15="","Nem adott meg lekötött teljesítményt",VLOOKUP(D23,'Műszaki adattábla'!E:N,10,0)),0))</f>
        <v/>
      </c>
      <c r="H23" s="97" t="str">
        <f>IF(D23="","",VLOOKUP(D23,'Műszaki adattábla'!E:O,11,0))</f>
        <v/>
      </c>
      <c r="I23" s="39"/>
      <c r="J23" s="40"/>
      <c r="K23" s="41" t="str">
        <f>IF(D23="","",ROUND(((F23*I23*'Műszaki adattábla'!$C$6/'Műszaki adattábla'!$C$7)+(G23*I23)+(H23*I23))/12*$D$7,0))</f>
        <v/>
      </c>
      <c r="L23" s="42" t="str">
        <f t="shared" si="0"/>
        <v/>
      </c>
      <c r="M23" s="43"/>
      <c r="N23" s="44"/>
      <c r="O23" s="44"/>
    </row>
    <row r="24" spans="1:15" ht="15.75" thickBot="1" x14ac:dyDescent="0.3">
      <c r="A24" s="45"/>
      <c r="B24" s="33" t="str">
        <f t="shared" ref="B24:B25" si="1">IF(D24="","",B23+1)</f>
        <v/>
      </c>
      <c r="C24" s="34" t="str">
        <f>IF(D24="","",VLOOKUP(D24,'Műszaki adattábla'!E:F,2,0))</f>
        <v/>
      </c>
      <c r="D24" s="35" t="str">
        <f>IF('Műszaki adattábla'!E16="","",'Műszaki adattábla'!E16)</f>
        <v/>
      </c>
      <c r="E24" s="36" t="str">
        <f>IF(D24="","",VLOOKUP(D24,'Műszaki adattábla'!E:Q,13,0))</f>
        <v/>
      </c>
      <c r="F24" s="37" t="str">
        <f>IF(D24="","",VLOOKUP(D24,'Műszaki adattábla'!E:L,8,0))</f>
        <v/>
      </c>
      <c r="G24" s="97" t="str">
        <f>IF(D24="","",IF('Műszaki adattábla'!K16="20-99",IF('Műszaki adattábla'!N16="","Nem adott meg lekötött teljesítményt",VLOOKUP(D24,'Műszaki adattábla'!E:N,10,0)),0))</f>
        <v/>
      </c>
      <c r="H24" s="97" t="str">
        <f>IF(D24="","",VLOOKUP(D24,'Műszaki adattábla'!E:O,11,0))</f>
        <v/>
      </c>
      <c r="I24" s="39"/>
      <c r="J24" s="40"/>
      <c r="K24" s="41" t="str">
        <f>IF(D24="","",ROUND(((F24*I24*'Műszaki adattábla'!$C$6/'Műszaki adattábla'!$C$7)+(G24*I24)+(H24*I24))/12*$D$7,0))</f>
        <v/>
      </c>
      <c r="L24" s="42" t="str">
        <f t="shared" si="0"/>
        <v/>
      </c>
      <c r="M24" s="43"/>
      <c r="N24" s="44"/>
      <c r="O24" s="44"/>
    </row>
    <row r="25" spans="1:15" ht="15.75" thickBot="1" x14ac:dyDescent="0.3">
      <c r="A25" s="45"/>
      <c r="B25" s="33" t="str">
        <f t="shared" si="1"/>
        <v/>
      </c>
      <c r="C25" s="34" t="str">
        <f>IF(D25="","",VLOOKUP(D25,'Műszaki adattábla'!E:F,2,0))</f>
        <v/>
      </c>
      <c r="D25" s="35" t="str">
        <f>IF('Műszaki adattábla'!E17="","",'Műszaki adattábla'!E17)</f>
        <v/>
      </c>
      <c r="E25" s="36" t="str">
        <f>IF(D25="","",VLOOKUP(D25,'Műszaki adattábla'!E:Q,13,0))</f>
        <v/>
      </c>
      <c r="F25" s="37" t="str">
        <f>IF(D25="","",VLOOKUP(D25,'Műszaki adattábla'!E:L,8,0))</f>
        <v/>
      </c>
      <c r="G25" s="97" t="str">
        <f>IF(D25="","",IF('Műszaki adattábla'!K17="20-99",IF('Műszaki adattábla'!N17="","Nem adott meg lekötött teljesítményt",VLOOKUP(D25,'Műszaki adattábla'!E:N,10,0)),0))</f>
        <v/>
      </c>
      <c r="H25" s="97" t="str">
        <f>IF(D25="","",VLOOKUP(D25,'Műszaki adattábla'!E:O,11,0))</f>
        <v/>
      </c>
      <c r="I25" s="39"/>
      <c r="J25" s="40"/>
      <c r="K25" s="41" t="str">
        <f>IF(D25="","",ROUND(((F25*I25*'Műszaki adattábla'!$C$6/'Műszaki adattábla'!$C$7)+(G25*I25)+(H25*I25))/12*$D$7,0))</f>
        <v/>
      </c>
      <c r="L25" s="42" t="str">
        <f t="shared" si="0"/>
        <v/>
      </c>
      <c r="M25" s="43"/>
      <c r="N25" s="44"/>
      <c r="O25" s="44"/>
    </row>
  </sheetData>
  <sheetProtection formatCells="0" formatColumns="0" formatRows="0" insertColumns="0" insertRows="0" insertHyperlinks="0" deleteRows="0" selectLockedCells="1" sort="0" pivotTables="0"/>
  <mergeCells count="22">
    <mergeCell ref="A1:L1"/>
    <mergeCell ref="A2:L3"/>
    <mergeCell ref="I8:L8"/>
    <mergeCell ref="I9:L9"/>
    <mergeCell ref="J5:L5"/>
    <mergeCell ref="J6:L6"/>
    <mergeCell ref="A5:C5"/>
    <mergeCell ref="A6:C6"/>
    <mergeCell ref="A7:C7"/>
    <mergeCell ref="A8:C8"/>
    <mergeCell ref="A14:C14"/>
    <mergeCell ref="A10:C10"/>
    <mergeCell ref="A17:C17"/>
    <mergeCell ref="A18:C18"/>
    <mergeCell ref="J16:L16"/>
    <mergeCell ref="J18:L18"/>
    <mergeCell ref="J13:L13"/>
    <mergeCell ref="J15:L15"/>
    <mergeCell ref="J17:L17"/>
    <mergeCell ref="A16:D16"/>
    <mergeCell ref="A12:C12"/>
    <mergeCell ref="A13:C13"/>
  </mergeCells>
  <conditionalFormatting sqref="G22:G25">
    <cfRule type="expression" dxfId="4" priority="19">
      <formula>#REF!&lt;&gt;"20-99"</formula>
    </cfRule>
  </conditionalFormatting>
  <conditionalFormatting sqref="F22:F25">
    <cfRule type="expression" dxfId="3" priority="16">
      <formula>#REF!&lt;&gt;"20 alatti"</formula>
    </cfRule>
  </conditionalFormatting>
  <conditionalFormatting sqref="H22:H25">
    <cfRule type="expression" dxfId="2" priority="10">
      <formula>AND(#REF!&lt;&gt;"100-500",#REF!&lt;&gt;"500-")</formula>
    </cfRule>
  </conditionalFormatting>
  <conditionalFormatting sqref="F10">
    <cfRule type="cellIs" dxfId="1" priority="8" operator="equal">
      <formula>"magas ár"</formula>
    </cfRule>
    <cfRule type="cellIs" dxfId="0" priority="9" operator="equal">
      <formula>"megfelelő"</formula>
    </cfRule>
  </conditionalFormatting>
  <dataValidations xWindow="1477" yWindow="701" count="3">
    <dataValidation type="decimal" allowBlank="1" showInputMessage="1" showErrorMessage="1" sqref="J23:J25" xr:uid="{00000000-0002-0000-0100-000000000000}">
      <formula1>0.99</formula1>
      <formula2>999999999</formula2>
    </dataValidation>
    <dataValidation type="decimal" allowBlank="1" showInputMessage="1" showErrorMessage="1" sqref="E22:E25" xr:uid="{00000000-0002-0000-0100-000001000000}">
      <formula1>0</formula1>
      <formula2>99999999</formula2>
    </dataValidation>
    <dataValidation allowBlank="1" showErrorMessage="1" prompt="Egész szám, tizedes nélkül!" sqref="K22:K25" xr:uid="{00000000-0002-0000-0100-000002000000}"/>
  </dataValidations>
  <pageMargins left="0.7" right="0.7" top="0.75" bottom="0.75" header="0.3" footer="0.3"/>
  <pageSetup paperSize="8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">
    <tabColor rgb="FFFF0000"/>
  </sheetPr>
  <dimension ref="A1:D12"/>
  <sheetViews>
    <sheetView workbookViewId="0">
      <selection activeCell="B31" sqref="B31"/>
    </sheetView>
  </sheetViews>
  <sheetFormatPr defaultColWidth="9.140625" defaultRowHeight="14.25" x14ac:dyDescent="0.2"/>
  <cols>
    <col min="1" max="1" width="18.85546875" style="15" customWidth="1"/>
    <col min="2" max="2" width="22.140625" style="15" customWidth="1"/>
    <col min="3" max="3" width="51.28515625" style="15" bestFit="1" customWidth="1"/>
    <col min="4" max="4" width="44.85546875" style="15" bestFit="1" customWidth="1"/>
    <col min="5" max="16384" width="9.140625" style="15"/>
  </cols>
  <sheetData>
    <row r="1" spans="1:4" ht="15" thickBot="1" x14ac:dyDescent="0.25">
      <c r="A1" s="66" t="s">
        <v>8</v>
      </c>
      <c r="B1" s="66"/>
      <c r="C1" s="16" t="s">
        <v>22</v>
      </c>
      <c r="D1" s="16" t="s">
        <v>23</v>
      </c>
    </row>
    <row r="2" spans="1:4" ht="15" thickBot="1" x14ac:dyDescent="0.25">
      <c r="A2" s="66" t="s">
        <v>4</v>
      </c>
      <c r="B2" s="66"/>
      <c r="C2" s="17" t="s">
        <v>24</v>
      </c>
      <c r="D2" s="17" t="s">
        <v>25</v>
      </c>
    </row>
    <row r="3" spans="1:4" ht="15" thickBot="1" x14ac:dyDescent="0.25">
      <c r="A3" s="66" t="s">
        <v>5</v>
      </c>
      <c r="B3" s="66" t="s">
        <v>63</v>
      </c>
      <c r="C3" s="17" t="s">
        <v>26</v>
      </c>
      <c r="D3" s="17" t="s">
        <v>27</v>
      </c>
    </row>
    <row r="4" spans="1:4" ht="15" thickBot="1" x14ac:dyDescent="0.25">
      <c r="A4" s="66" t="s">
        <v>6</v>
      </c>
      <c r="B4" s="66" t="s">
        <v>62</v>
      </c>
      <c r="C4" s="17" t="s">
        <v>28</v>
      </c>
      <c r="D4" s="17" t="s">
        <v>29</v>
      </c>
    </row>
    <row r="5" spans="1:4" ht="15" thickBot="1" x14ac:dyDescent="0.25">
      <c r="A5" s="66" t="s">
        <v>7</v>
      </c>
      <c r="B5" s="66" t="s">
        <v>61</v>
      </c>
      <c r="C5" s="17" t="s">
        <v>30</v>
      </c>
      <c r="D5" s="17" t="s">
        <v>31</v>
      </c>
    </row>
    <row r="6" spans="1:4" ht="15" thickBot="1" x14ac:dyDescent="0.25">
      <c r="A6" s="66"/>
      <c r="B6" s="66"/>
      <c r="C6" s="17" t="s">
        <v>32</v>
      </c>
      <c r="D6" s="17" t="s">
        <v>33</v>
      </c>
    </row>
    <row r="7" spans="1:4" ht="15" thickBot="1" x14ac:dyDescent="0.25">
      <c r="A7" s="67">
        <f ca="1">TODAY()</f>
        <v>44893</v>
      </c>
      <c r="B7" s="66" t="s">
        <v>64</v>
      </c>
      <c r="C7" s="17" t="s">
        <v>34</v>
      </c>
      <c r="D7" s="17" t="s">
        <v>27</v>
      </c>
    </row>
    <row r="8" spans="1:4" ht="15" thickBot="1" x14ac:dyDescent="0.25">
      <c r="A8" s="66" t="str">
        <f ca="1">TEXT(A7,"ÉÉÉÉ. HHHH")</f>
        <v>2022. november</v>
      </c>
      <c r="B8" s="66" t="s">
        <v>65</v>
      </c>
      <c r="C8" s="17" t="s">
        <v>35</v>
      </c>
      <c r="D8" s="17" t="s">
        <v>36</v>
      </c>
    </row>
    <row r="9" spans="1:4" ht="15" thickBot="1" x14ac:dyDescent="0.25">
      <c r="A9" s="66"/>
      <c r="B9" s="66" t="s">
        <v>60</v>
      </c>
      <c r="C9" s="17" t="s">
        <v>37</v>
      </c>
      <c r="D9" s="17" t="s">
        <v>38</v>
      </c>
    </row>
    <row r="10" spans="1:4" ht="15" thickBot="1" x14ac:dyDescent="0.25">
      <c r="A10" s="66"/>
      <c r="B10" s="66" t="s">
        <v>59</v>
      </c>
      <c r="C10" s="17" t="s">
        <v>39</v>
      </c>
      <c r="D10" s="17" t="s">
        <v>17</v>
      </c>
    </row>
    <row r="11" spans="1:4" ht="15" thickBot="1" x14ac:dyDescent="0.25">
      <c r="A11" s="66"/>
      <c r="B11" s="66" t="s">
        <v>66</v>
      </c>
      <c r="C11" s="17" t="s">
        <v>40</v>
      </c>
      <c r="D11" s="17" t="s">
        <v>41</v>
      </c>
    </row>
    <row r="12" spans="1:4" ht="15" thickBot="1" x14ac:dyDescent="0.25">
      <c r="A12" s="66"/>
      <c r="B12" s="66" t="s">
        <v>58</v>
      </c>
      <c r="C12" s="17" t="s">
        <v>42</v>
      </c>
      <c r="D12" s="17" t="s">
        <v>43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2" sqref="B2"/>
    </sheetView>
  </sheetViews>
  <sheetFormatPr defaultRowHeight="15" x14ac:dyDescent="0.25"/>
  <cols>
    <col min="1" max="1" width="35.42578125" customWidth="1"/>
    <col min="2" max="2" width="59.85546875" customWidth="1"/>
  </cols>
  <sheetData>
    <row r="1" spans="1:1" x14ac:dyDescent="0.25">
      <c r="A1" s="113" t="s">
        <v>103</v>
      </c>
    </row>
    <row r="2" spans="1:1" x14ac:dyDescent="0.25">
      <c r="A2" s="11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Műszaki adattábla</vt:lpstr>
      <vt:lpstr>számoló tábla</vt:lpstr>
      <vt:lpstr>Technikai cellák</vt:lpstr>
      <vt:lpstr>Elérhetőségek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2020-10-28T10:33:50Z</dcterms:created>
  <dcterms:modified xsi:type="dcterms:W3CDTF">2022-11-28T13:28:16Z</dcterms:modified>
</cp:coreProperties>
</file>