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85" tabRatio="844" activeTab="2"/>
  </bookViews>
  <sheets>
    <sheet name="Polgárok közvetlen szolg." sheetId="3" r:id="rId1"/>
    <sheet name="Városigazgatás-Közösségszerv." sheetId="4" r:id="rId2"/>
    <sheet name="Felhalmozási" sheetId="7" r:id="rId3"/>
  </sheets>
  <calcPr calcId="152511"/>
</workbook>
</file>

<file path=xl/calcChain.xml><?xml version="1.0" encoding="utf-8"?>
<calcChain xmlns="http://schemas.openxmlformats.org/spreadsheetml/2006/main">
  <c r="L6" i="4" l="1"/>
  <c r="E6" i="4"/>
  <c r="N4" i="7"/>
  <c r="N8" i="7"/>
  <c r="G4" i="7"/>
  <c r="G8" i="7"/>
  <c r="E4" i="7"/>
  <c r="L4" i="4"/>
  <c r="L11" i="7" l="1"/>
  <c r="K7" i="4"/>
  <c r="I6" i="4"/>
  <c r="J35" i="4" l="1"/>
  <c r="L24" i="3" l="1"/>
  <c r="L15" i="3"/>
  <c r="K15" i="3"/>
  <c r="K14" i="3"/>
  <c r="C6" i="4" l="1"/>
  <c r="C4" i="7"/>
  <c r="I4" i="7"/>
  <c r="C8" i="7"/>
  <c r="I9" i="4" l="1"/>
  <c r="I10" i="4"/>
  <c r="I24" i="3" l="1"/>
  <c r="I15" i="3"/>
  <c r="I14" i="3"/>
  <c r="C10" i="3" l="1"/>
  <c r="C12" i="7" l="1"/>
  <c r="H25" i="4" l="1"/>
  <c r="H22" i="4"/>
  <c r="H8" i="4"/>
  <c r="H3" i="4"/>
  <c r="C22" i="4"/>
  <c r="B22" i="4"/>
  <c r="C20" i="4"/>
  <c r="B20" i="4"/>
  <c r="B25" i="4"/>
  <c r="C25" i="4"/>
  <c r="B12" i="3"/>
  <c r="K4" i="4" l="1"/>
  <c r="B13" i="4" l="1"/>
  <c r="B8" i="4"/>
  <c r="B32" i="4" s="1"/>
  <c r="B3" i="4"/>
  <c r="I12" i="7" l="1"/>
  <c r="I25" i="4"/>
  <c r="I22" i="4"/>
  <c r="C13" i="4"/>
  <c r="I8" i="4"/>
  <c r="C8" i="4"/>
  <c r="I3" i="4"/>
  <c r="C3" i="4"/>
  <c r="I25" i="3"/>
  <c r="I13" i="3"/>
  <c r="C13" i="3"/>
  <c r="C29" i="3" s="1"/>
  <c r="I3" i="3"/>
  <c r="C3" i="3"/>
  <c r="I32" i="4" l="1"/>
  <c r="C32" i="4"/>
  <c r="I29" i="3"/>
  <c r="L3" i="4" l="1"/>
  <c r="J4" i="7"/>
  <c r="D4" i="7"/>
  <c r="D5" i="3" l="1"/>
  <c r="D4" i="3"/>
  <c r="H32" i="4" l="1"/>
  <c r="H12" i="7" l="1"/>
  <c r="D35" i="4"/>
  <c r="D21" i="3" l="1"/>
  <c r="G21" i="3" s="1"/>
  <c r="D22" i="3"/>
  <c r="D23" i="3"/>
  <c r="J17" i="3"/>
  <c r="J18" i="3"/>
  <c r="J19" i="3"/>
  <c r="J20" i="3"/>
  <c r="J21" i="3"/>
  <c r="J22" i="3"/>
  <c r="J3" i="7"/>
  <c r="D8" i="7"/>
  <c r="D9" i="7"/>
  <c r="D10" i="7"/>
  <c r="J9" i="7"/>
  <c r="J10" i="7"/>
  <c r="J11" i="7"/>
  <c r="N11" i="7" s="1"/>
  <c r="J5" i="7"/>
  <c r="J6" i="7"/>
  <c r="J7" i="7"/>
  <c r="J8" i="7"/>
  <c r="D5" i="7"/>
  <c r="D6" i="7"/>
  <c r="G6" i="7" s="1"/>
  <c r="D7" i="7"/>
  <c r="D11" i="7"/>
  <c r="G11" i="7" s="1"/>
  <c r="D16" i="4"/>
  <c r="D17" i="4"/>
  <c r="G17" i="4" s="1"/>
  <c r="D18" i="4"/>
  <c r="G18" i="4" s="1"/>
  <c r="J11" i="3"/>
  <c r="D11" i="3"/>
  <c r="K12" i="7" l="1"/>
  <c r="L12" i="7"/>
  <c r="M12" i="7"/>
  <c r="E12" i="7"/>
  <c r="B12" i="7"/>
  <c r="D31" i="4" l="1"/>
  <c r="G31" i="4" s="1"/>
  <c r="B3" i="3"/>
  <c r="J12" i="7" l="1"/>
  <c r="F12" i="7"/>
  <c r="L25" i="4"/>
  <c r="J27" i="3"/>
  <c r="N27" i="3" s="1"/>
  <c r="J26" i="3"/>
  <c r="N26" i="3" s="1"/>
  <c r="D12" i="4"/>
  <c r="G12" i="4" s="1"/>
  <c r="N35" i="4"/>
  <c r="G35" i="4"/>
  <c r="D3" i="7"/>
  <c r="N6" i="7"/>
  <c r="D24" i="4"/>
  <c r="G24" i="4" s="1"/>
  <c r="D25" i="4"/>
  <c r="G25" i="4" s="1"/>
  <c r="E25" i="4"/>
  <c r="F25" i="4"/>
  <c r="D12" i="3"/>
  <c r="G12" i="3" s="1"/>
  <c r="B13" i="3"/>
  <c r="B29" i="3" s="1"/>
  <c r="F20" i="4"/>
  <c r="E20" i="4"/>
  <c r="J20" i="4"/>
  <c r="J27" i="4"/>
  <c r="N27" i="4" s="1"/>
  <c r="J28" i="4"/>
  <c r="N28" i="4" s="1"/>
  <c r="J29" i="4"/>
  <c r="N29" i="4" s="1"/>
  <c r="J30" i="4"/>
  <c r="N30" i="4" s="1"/>
  <c r="J31" i="4"/>
  <c r="N31" i="4" s="1"/>
  <c r="J26" i="4"/>
  <c r="N26" i="4" s="1"/>
  <c r="J23" i="4"/>
  <c r="J24" i="4"/>
  <c r="N24" i="4" s="1"/>
  <c r="J15" i="4"/>
  <c r="J16" i="4"/>
  <c r="J17" i="4"/>
  <c r="J18" i="4"/>
  <c r="J19" i="4"/>
  <c r="J21" i="4"/>
  <c r="J14" i="4"/>
  <c r="J10" i="4"/>
  <c r="N10" i="4" s="1"/>
  <c r="J11" i="4"/>
  <c r="J12" i="4"/>
  <c r="J9" i="4"/>
  <c r="N9" i="4" s="1"/>
  <c r="J5" i="4"/>
  <c r="N5" i="4" s="1"/>
  <c r="J6" i="4"/>
  <c r="N6" i="4" s="1"/>
  <c r="J7" i="4"/>
  <c r="J4" i="4"/>
  <c r="N4" i="4" s="1"/>
  <c r="F13" i="4"/>
  <c r="E13" i="4"/>
  <c r="D13" i="4" s="1"/>
  <c r="M8" i="4"/>
  <c r="L8" i="4"/>
  <c r="K8" i="4"/>
  <c r="D11" i="4"/>
  <c r="G11" i="4" s="1"/>
  <c r="F8" i="4"/>
  <c r="D7" i="4"/>
  <c r="G7" i="4" s="1"/>
  <c r="D19" i="4"/>
  <c r="G19" i="4" s="1"/>
  <c r="M25" i="4"/>
  <c r="M3" i="4"/>
  <c r="J13" i="4"/>
  <c r="K3" i="4"/>
  <c r="D15" i="4"/>
  <c r="D21" i="4"/>
  <c r="G21" i="4" s="1"/>
  <c r="D14" i="4"/>
  <c r="D9" i="4"/>
  <c r="D5" i="4"/>
  <c r="G5" i="4" s="1"/>
  <c r="D6" i="4"/>
  <c r="G6" i="4" s="1"/>
  <c r="D4" i="4"/>
  <c r="G4" i="4" s="1"/>
  <c r="F3" i="4"/>
  <c r="E3" i="4"/>
  <c r="H25" i="3"/>
  <c r="H13" i="3"/>
  <c r="H3" i="3"/>
  <c r="K25" i="4"/>
  <c r="D23" i="4"/>
  <c r="M22" i="4"/>
  <c r="L22" i="4"/>
  <c r="K22" i="4"/>
  <c r="F22" i="4"/>
  <c r="E22" i="4"/>
  <c r="J28" i="3"/>
  <c r="N28" i="3" s="1"/>
  <c r="M25" i="3"/>
  <c r="L25" i="3"/>
  <c r="K25" i="3"/>
  <c r="J24" i="3"/>
  <c r="N24" i="3" s="1"/>
  <c r="D24" i="3"/>
  <c r="G24" i="3" s="1"/>
  <c r="J23" i="3"/>
  <c r="N23" i="3" s="1"/>
  <c r="G23" i="3"/>
  <c r="N22" i="3"/>
  <c r="G22" i="3"/>
  <c r="N20" i="3"/>
  <c r="D20" i="3"/>
  <c r="G20" i="3" s="1"/>
  <c r="D19" i="3"/>
  <c r="G19" i="3" s="1"/>
  <c r="D18" i="3"/>
  <c r="G18" i="3" s="1"/>
  <c r="D17" i="3"/>
  <c r="G17" i="3" s="1"/>
  <c r="J16" i="3"/>
  <c r="N16" i="3" s="1"/>
  <c r="D16" i="3"/>
  <c r="G16" i="3" s="1"/>
  <c r="J15" i="3"/>
  <c r="N15" i="3" s="1"/>
  <c r="D15" i="3"/>
  <c r="G15" i="3" s="1"/>
  <c r="J14" i="3"/>
  <c r="N14" i="3" s="1"/>
  <c r="D14" i="3"/>
  <c r="G14" i="3" s="1"/>
  <c r="M13" i="3"/>
  <c r="L13" i="3"/>
  <c r="K13" i="3"/>
  <c r="F13" i="3"/>
  <c r="F3" i="3" s="1"/>
  <c r="D3" i="3" s="1"/>
  <c r="E13" i="3"/>
  <c r="E29" i="3" s="1"/>
  <c r="J10" i="3"/>
  <c r="N10" i="3" s="1"/>
  <c r="D10" i="3"/>
  <c r="G10" i="3" s="1"/>
  <c r="J9" i="3"/>
  <c r="N9" i="3" s="1"/>
  <c r="D9" i="3"/>
  <c r="G9" i="3" s="1"/>
  <c r="J8" i="3"/>
  <c r="N8" i="3" s="1"/>
  <c r="D8" i="3"/>
  <c r="G8" i="3" s="1"/>
  <c r="J7" i="3"/>
  <c r="D7" i="3"/>
  <c r="G7" i="3" s="1"/>
  <c r="J6" i="3"/>
  <c r="N6" i="3" s="1"/>
  <c r="D6" i="3"/>
  <c r="G6" i="3" s="1"/>
  <c r="J5" i="3"/>
  <c r="N5" i="3" s="1"/>
  <c r="G5" i="3"/>
  <c r="J4" i="3"/>
  <c r="G4" i="3"/>
  <c r="M3" i="3"/>
  <c r="L3" i="3"/>
  <c r="K3" i="3"/>
  <c r="J3" i="4" l="1"/>
  <c r="N3" i="4" s="1"/>
  <c r="F29" i="3"/>
  <c r="M29" i="3"/>
  <c r="L29" i="3"/>
  <c r="H29" i="3"/>
  <c r="K29" i="3"/>
  <c r="D12" i="7"/>
  <c r="G12" i="7" s="1"/>
  <c r="G3" i="3"/>
  <c r="J3" i="3"/>
  <c r="J13" i="3"/>
  <c r="N13" i="3" s="1"/>
  <c r="D20" i="4"/>
  <c r="G20" i="4" s="1"/>
  <c r="D13" i="3"/>
  <c r="D22" i="4"/>
  <c r="G22" i="4" s="1"/>
  <c r="J8" i="4"/>
  <c r="N8" i="4" s="1"/>
  <c r="G13" i="4"/>
  <c r="F32" i="4"/>
  <c r="J22" i="4"/>
  <c r="N22" i="4" s="1"/>
  <c r="G9" i="4"/>
  <c r="K32" i="4"/>
  <c r="E8" i="4"/>
  <c r="D3" i="4"/>
  <c r="M32" i="4"/>
  <c r="N12" i="7"/>
  <c r="J25" i="4"/>
  <c r="L32" i="4"/>
  <c r="J25" i="3"/>
  <c r="N25" i="3" s="1"/>
  <c r="D8" i="4" l="1"/>
  <c r="G8" i="4" s="1"/>
  <c r="G3" i="4"/>
  <c r="J29" i="3"/>
  <c r="N29" i="3" s="1"/>
  <c r="G13" i="3"/>
  <c r="D29" i="3"/>
  <c r="G29" i="3" s="1"/>
  <c r="N3" i="3"/>
  <c r="E32" i="4"/>
  <c r="B14" i="7"/>
  <c r="J32" i="4"/>
  <c r="N25" i="4"/>
  <c r="D32" i="4" l="1"/>
  <c r="K17" i="7" s="1"/>
  <c r="N32" i="4"/>
  <c r="L39" i="4"/>
  <c r="M17" i="7"/>
  <c r="G32" i="4" l="1"/>
  <c r="J39" i="4"/>
  <c r="F38" i="4" s="1"/>
  <c r="D16" i="7"/>
  <c r="D41" i="4" l="1"/>
  <c r="J13" i="7" s="1"/>
  <c r="H14" i="7" s="1"/>
</calcChain>
</file>

<file path=xl/sharedStrings.xml><?xml version="1.0" encoding="utf-8"?>
<sst xmlns="http://schemas.openxmlformats.org/spreadsheetml/2006/main" count="127" uniqueCount="98">
  <si>
    <t>Egyéb befizetés, pályázat</t>
  </si>
  <si>
    <t>Városüzemeltetési alapfeladatok</t>
  </si>
  <si>
    <t>Települési hulladékgazdálkodás (hulladékgyűjtők, hó- és síkosság mentesítés, szennyvíz-szállítás)</t>
  </si>
  <si>
    <t>Út, járda karbantartás (kátyúzás, padkázás, táblák stb.)</t>
  </si>
  <si>
    <t>Köztemető</t>
  </si>
  <si>
    <t>Helyi közösségi közlekedés</t>
  </si>
  <si>
    <t>Közvilágítás, karbantartás</t>
  </si>
  <si>
    <t>Zöldterület kezelés (fűvágás, gallyazás, szemétszedés-seprés, locsolás, virágosítás, fásítás)</t>
  </si>
  <si>
    <t>Intézmények, szolgáltatások, támogatások</t>
  </si>
  <si>
    <t>Brunszvik Teréz Óvoda</t>
  </si>
  <si>
    <t>Iskolatej (óvodatej)</t>
  </si>
  <si>
    <t>Egészségügyi kiadások (labor, stb.)</t>
  </si>
  <si>
    <t>Háziorvosi rendelő, egészségház</t>
  </si>
  <si>
    <t>Gyermekorvosi, fogorvosi rendelő</t>
  </si>
  <si>
    <t>Védőnői szolgálat</t>
  </si>
  <si>
    <t>Szociális támogatások</t>
  </si>
  <si>
    <t>Közfoglalkoztatás támogatása</t>
  </si>
  <si>
    <t>Bevételek a lakosság által igénybevett szolgáltatások ellentételezésére</t>
  </si>
  <si>
    <t>Összesen:</t>
  </si>
  <si>
    <t>MINDÖSSZESEN:</t>
  </si>
  <si>
    <t>Index % előző évhez</t>
  </si>
  <si>
    <t>POLGÁROK ÁLTAL KÖZVETLENÜL IGÉNYBE VETT SZOLGÁLTATÁSOK</t>
  </si>
  <si>
    <t xml:space="preserve">Polgármesteri Hivatal és városháza épülete </t>
  </si>
  <si>
    <t>Mezőőri tevékenység</t>
  </si>
  <si>
    <t xml:space="preserve">Brunszvik-Beethoven Kulturális Központ </t>
  </si>
  <si>
    <t>Egyéb feladatok</t>
  </si>
  <si>
    <t>Csatorna áfa befizetés</t>
  </si>
  <si>
    <t>Önkor-mányzat és szervei</t>
  </si>
  <si>
    <t>VÁROSIGAZGATÁS ÉS KÖZÖSSÉGSZERVEZÉS</t>
  </si>
  <si>
    <t>Állami támogatás</t>
  </si>
  <si>
    <t>Önkormányzat, szervei, partnerek</t>
  </si>
  <si>
    <t>Hiteltörlesztés (Áfa kölcsön, egyéb hitel)</t>
  </si>
  <si>
    <t>Kommunikációs feladatok (újság, kiadvány, eszköz)</t>
  </si>
  <si>
    <t>Óvodamúzeum és Könyvtár (ÓM)</t>
  </si>
  <si>
    <t>Kultúra, rendezvények, civilek, nemzetközi kapcsolatok</t>
  </si>
  <si>
    <t>Civil szervezetek támogatása (sport nélkül)</t>
  </si>
  <si>
    <t>Sportegyesületek támogatása</t>
  </si>
  <si>
    <t>Sportélet támogatása és létesítményfenntartás</t>
  </si>
  <si>
    <t>Sportiroda,spotreferensi feladatok (MS)</t>
  </si>
  <si>
    <t>Utánpótlás-nevelés közvetlen támogatása (MS)</t>
  </si>
  <si>
    <t>Városigazgatási feladatok, Városháza</t>
  </si>
  <si>
    <t>További támogatások</t>
  </si>
  <si>
    <t>Iskolaudvar, Járás, Malom és MG telephely fenntartása</t>
  </si>
  <si>
    <t>KIADÁS</t>
  </si>
  <si>
    <t>Index %</t>
  </si>
  <si>
    <t>BEVÉTEL</t>
  </si>
  <si>
    <t>Fejlesztések-re, következő évi tartalékba</t>
  </si>
  <si>
    <t>Martongazda (fejlesztésre átadott)</t>
  </si>
  <si>
    <t>Saját (tartalék, kölcsön)</t>
  </si>
  <si>
    <t>Céltartalék (viziközmű fejlesztésre)</t>
  </si>
  <si>
    <t>Kisajátítási céltartlék</t>
  </si>
  <si>
    <t>Működési bevétel többlet áthozat</t>
  </si>
  <si>
    <t>FŐÖSSZEG</t>
  </si>
  <si>
    <t>Kiadás összesen</t>
  </si>
  <si>
    <t>Bevétel összesen</t>
  </si>
  <si>
    <t>Költségvetési transzferek a TKT részére</t>
  </si>
  <si>
    <t>Működési költésgvetési egyenleg</t>
  </si>
  <si>
    <t>Működési költségvetési egyenleg átvitele felhalmozási tartalékba</t>
  </si>
  <si>
    <t xml:space="preserve">Fejlesztések </t>
  </si>
  <si>
    <r>
      <t xml:space="preserve">Marton-gazda </t>
    </r>
    <r>
      <rPr>
        <sz val="11"/>
        <color indexed="8"/>
        <rFont val="Times New Roman"/>
        <family val="1"/>
        <charset val="238"/>
      </rPr>
      <t>(működtetésre átadott)</t>
    </r>
  </si>
  <si>
    <r>
      <t xml:space="preserve">Saját </t>
    </r>
    <r>
      <rPr>
        <sz val="11"/>
        <color indexed="8"/>
        <rFont val="Times New Roman"/>
        <family val="1"/>
        <charset val="238"/>
      </rPr>
      <t>(adó, egyéb, tartalék)</t>
    </r>
  </si>
  <si>
    <t>Nemzetközi kapcsolatok, egyéb rendezvények</t>
  </si>
  <si>
    <t>Pótlékok, bírságok</t>
  </si>
  <si>
    <t>Helyi Iparűzési Adó</t>
  </si>
  <si>
    <t>Telekadó</t>
  </si>
  <si>
    <t xml:space="preserve">Építményadó </t>
  </si>
  <si>
    <t>Egyéb bevételek, igazgatási szolgáltatási díj, kamatbevétel, pénzeszköz átvétel, támogatásértékű bevétel, földterület SZJA, stb.</t>
  </si>
  <si>
    <t>Kommunális adó</t>
  </si>
  <si>
    <t xml:space="preserve">Gépjárműadó </t>
  </si>
  <si>
    <t>Talajterhelési díj</t>
  </si>
  <si>
    <t>Piactér, vásártér</t>
  </si>
  <si>
    <t>Városgazdálkodás (városüzemletetési iroda, menedzsment, FB..stb.)</t>
  </si>
  <si>
    <t>Sportcsarnok fenntartása</t>
  </si>
  <si>
    <t>Sportközpont</t>
  </si>
  <si>
    <t>Gyermek- és szociális étkeztetés (Iskolák)</t>
  </si>
  <si>
    <t>Martongazda Kft (4 fő)</t>
  </si>
  <si>
    <t>Önkormányzati tartalék</t>
  </si>
  <si>
    <t>Módosított ei.III.</t>
  </si>
  <si>
    <t>A városigazgatási és közösségszervezés</t>
  </si>
  <si>
    <t>Polgárőrség közbiztonsági feladatainak (pályázat), a Gárdonyi Rendőrkapitányság, a Martonvásári Mentőállomás és a Martonvásári Önkéntes Tűzoltók támogatása</t>
  </si>
  <si>
    <t>2019. évi eredeti előirányzat</t>
  </si>
  <si>
    <t>2020. évi Kiadás összesen</t>
  </si>
  <si>
    <t>2020. évi Bevétel összesen</t>
  </si>
  <si>
    <t>2019. eredeti előirányzat</t>
  </si>
  <si>
    <t>2019. évi eredeti ei.</t>
  </si>
  <si>
    <t xml:space="preserve">2019. évi eredeti ei </t>
  </si>
  <si>
    <t>Pályázati és egyéb fejlesztések</t>
  </si>
  <si>
    <t>Forgatási célú értékpapír</t>
  </si>
  <si>
    <t>Martonsport Kft pályázatainak önrész-támogatása</t>
  </si>
  <si>
    <t>Általános tartalék, működési tartalék</t>
  </si>
  <si>
    <t>Települési adóból tartalék</t>
  </si>
  <si>
    <t>Pályázati, fejlesztési célú ct.</t>
  </si>
  <si>
    <t>Kormányzati támogatásból</t>
  </si>
  <si>
    <t>Egyenleg: -43 495</t>
  </si>
  <si>
    <r>
      <t xml:space="preserve">Egyenleg:  </t>
    </r>
    <r>
      <rPr>
        <b/>
        <i/>
        <sz val="11"/>
        <color rgb="FF0070C0"/>
        <rFont val="Times New Roman"/>
        <family val="1"/>
        <charset val="238"/>
      </rPr>
      <t>43 495E Ft</t>
    </r>
  </si>
  <si>
    <t>Létesítmény üzemeltetés (játszóterek, Mg telephely egyéb épületek)</t>
  </si>
  <si>
    <r>
      <t xml:space="preserve">Kistérség működtette lakossági szolgáltatásokra átadandó </t>
    </r>
    <r>
      <rPr>
        <i/>
        <sz val="11"/>
        <color theme="1"/>
        <rFont val="Times New Roman"/>
        <family val="1"/>
        <charset val="238"/>
      </rPr>
      <t xml:space="preserve">(Segítő szolgálatnál: orvosi ügy-ek., belső ell.,tűzoltóság, stb.) </t>
    </r>
    <r>
      <rPr>
        <sz val="11"/>
        <color theme="1"/>
        <rFont val="Times New Roman"/>
        <family val="1"/>
        <charset val="238"/>
      </rPr>
      <t xml:space="preserve"> </t>
    </r>
  </si>
  <si>
    <t>Önkormányzat (városvezetés, képviselő-testületi munka, nemzetközi kapcsolatok, kommunikáció, reprezentáció,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</si>
</sst>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2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rgb="FF0070C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7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2" fillId="0" borderId="0" xfId="3" applyFont="1"/>
    <xf numFmtId="0" fontId="2" fillId="0" borderId="0" xfId="3" applyFont="1" applyBorder="1" applyAlignment="1">
      <alignment horizontal="right" vertical="top" wrapText="1"/>
    </xf>
    <xf numFmtId="164" fontId="1" fillId="0" borderId="0" xfId="3" applyNumberFormat="1" applyFont="1" applyBorder="1" applyAlignment="1">
      <alignment horizontal="center" vertical="center" wrapText="1"/>
    </xf>
    <xf numFmtId="164" fontId="1" fillId="0" borderId="0" xfId="3" applyNumberFormat="1" applyFont="1" applyBorder="1" applyAlignment="1">
      <alignment vertical="center" wrapText="1"/>
    </xf>
    <xf numFmtId="0" fontId="5" fillId="0" borderId="0" xfId="3" applyFont="1"/>
    <xf numFmtId="0" fontId="1" fillId="0" borderId="0" xfId="3" applyFont="1" applyBorder="1" applyAlignment="1">
      <alignment horizontal="center" vertical="center"/>
    </xf>
    <xf numFmtId="0" fontId="1" fillId="0" borderId="0" xfId="3" applyFont="1"/>
    <xf numFmtId="165" fontId="3" fillId="0" borderId="0" xfId="3" applyNumberFormat="1" applyFont="1"/>
    <xf numFmtId="9" fontId="5" fillId="0" borderId="0" xfId="6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9" fontId="5" fillId="0" borderId="13" xfId="6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3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3" fillId="0" borderId="0" xfId="6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9" fontId="1" fillId="5" borderId="2" xfId="6" applyFont="1" applyFill="1" applyBorder="1" applyAlignment="1">
      <alignment horizontal="center" vertical="center" wrapText="1"/>
    </xf>
    <xf numFmtId="9" fontId="3" fillId="4" borderId="15" xfId="6" applyFont="1" applyFill="1" applyBorder="1" applyAlignment="1">
      <alignment horizontal="center" vertical="center"/>
    </xf>
    <xf numFmtId="165" fontId="2" fillId="4" borderId="16" xfId="2" applyNumberFormat="1" applyFont="1" applyFill="1" applyBorder="1" applyAlignment="1">
      <alignment horizontal="center" vertical="center"/>
    </xf>
    <xf numFmtId="9" fontId="3" fillId="4" borderId="17" xfId="6" applyFont="1" applyFill="1" applyBorder="1" applyAlignment="1">
      <alignment horizontal="center" vertical="center"/>
    </xf>
    <xf numFmtId="165" fontId="2" fillId="4" borderId="18" xfId="2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9" fontId="2" fillId="4" borderId="2" xfId="5" applyFont="1" applyFill="1" applyBorder="1" applyAlignment="1">
      <alignment horizontal="right" vertical="center" wrapText="1"/>
    </xf>
    <xf numFmtId="164" fontId="2" fillId="4" borderId="3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/>
    <xf numFmtId="165" fontId="3" fillId="0" borderId="3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165" fontId="3" fillId="0" borderId="0" xfId="0" applyNumberFormat="1" applyFont="1" applyFill="1" applyBorder="1"/>
    <xf numFmtId="0" fontId="1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19" fillId="4" borderId="2" xfId="5" applyFont="1" applyFill="1" applyBorder="1" applyAlignment="1">
      <alignment horizontal="right" vertical="center" wrapText="1"/>
    </xf>
    <xf numFmtId="0" fontId="19" fillId="0" borderId="0" xfId="0" applyFont="1"/>
    <xf numFmtId="9" fontId="2" fillId="0" borderId="2" xfId="5" applyFont="1" applyFill="1" applyBorder="1" applyAlignment="1">
      <alignment horizontal="right" vertical="center" wrapText="1"/>
    </xf>
    <xf numFmtId="165" fontId="16" fillId="0" borderId="3" xfId="1" applyNumberFormat="1" applyFont="1" applyFill="1" applyBorder="1" applyAlignment="1">
      <alignment horizontal="right" vertical="center" wrapText="1"/>
    </xf>
    <xf numFmtId="9" fontId="19" fillId="0" borderId="2" xfId="5" applyFont="1" applyFill="1" applyBorder="1" applyAlignment="1">
      <alignment horizontal="right" vertical="center" wrapText="1"/>
    </xf>
    <xf numFmtId="0" fontId="16" fillId="0" borderId="0" xfId="0" applyFont="1"/>
    <xf numFmtId="165" fontId="2" fillId="4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165" fontId="19" fillId="4" borderId="6" xfId="1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right" vertical="center" wrapText="1"/>
    </xf>
    <xf numFmtId="3" fontId="16" fillId="0" borderId="0" xfId="0" applyNumberFormat="1" applyFont="1"/>
    <xf numFmtId="165" fontId="19" fillId="4" borderId="5" xfId="1" applyNumberFormat="1" applyFont="1" applyFill="1" applyBorder="1" applyAlignment="1">
      <alignment horizontal="right" vertical="center" wrapText="1"/>
    </xf>
    <xf numFmtId="165" fontId="19" fillId="4" borderId="3" xfId="1" applyNumberFormat="1" applyFont="1" applyFill="1" applyBorder="1" applyAlignment="1">
      <alignment horizontal="right" vertical="center" wrapText="1"/>
    </xf>
    <xf numFmtId="165" fontId="19" fillId="0" borderId="0" xfId="1" applyNumberFormat="1" applyFont="1"/>
    <xf numFmtId="0" fontId="16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vertical="center"/>
    </xf>
    <xf numFmtId="9" fontId="5" fillId="0" borderId="0" xfId="5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/>
    </xf>
    <xf numFmtId="9" fontId="17" fillId="0" borderId="0" xfId="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6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9" fontId="19" fillId="4" borderId="3" xfId="5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9" fontId="1" fillId="0" borderId="2" xfId="6" applyFont="1" applyFill="1" applyBorder="1" applyAlignment="1">
      <alignment horizontal="center" vertical="center" wrapText="1"/>
    </xf>
    <xf numFmtId="9" fontId="2" fillId="5" borderId="2" xfId="6" applyFont="1" applyFill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19" fillId="4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9" fillId="3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9" fillId="3" borderId="9" xfId="1" applyNumberFormat="1" applyFont="1" applyFill="1" applyBorder="1" applyAlignment="1">
      <alignment horizontal="right" vertical="center" wrapText="1"/>
    </xf>
    <xf numFmtId="165" fontId="19" fillId="4" borderId="7" xfId="1" applyNumberFormat="1" applyFont="1" applyFill="1" applyBorder="1" applyAlignment="1">
      <alignment horizontal="right" vertical="center" wrapText="1"/>
    </xf>
    <xf numFmtId="165" fontId="16" fillId="4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" fillId="5" borderId="1" xfId="1" applyNumberFormat="1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right" vertical="top" wrapText="1"/>
    </xf>
    <xf numFmtId="0" fontId="3" fillId="0" borderId="4" xfId="3" applyFont="1" applyBorder="1" applyAlignment="1">
      <alignment vertical="top" wrapText="1"/>
    </xf>
    <xf numFmtId="0" fontId="6" fillId="0" borderId="4" xfId="4" applyFont="1" applyFill="1" applyBorder="1" applyAlignment="1">
      <alignment horizontal="left" vertical="center" wrapText="1"/>
    </xf>
    <xf numFmtId="0" fontId="2" fillId="5" borderId="4" xfId="3" applyFont="1" applyFill="1" applyBorder="1" applyAlignment="1">
      <alignment horizontal="left" vertical="top" wrapText="1"/>
    </xf>
    <xf numFmtId="0" fontId="3" fillId="0" borderId="28" xfId="3" applyFont="1" applyBorder="1" applyAlignment="1">
      <alignment vertical="top" wrapText="1"/>
    </xf>
    <xf numFmtId="165" fontId="1" fillId="0" borderId="9" xfId="1" applyNumberFormat="1" applyFont="1" applyBorder="1" applyAlignment="1">
      <alignment horizontal="center" vertical="center" wrapText="1"/>
    </xf>
    <xf numFmtId="165" fontId="1" fillId="0" borderId="9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4" fillId="4" borderId="37" xfId="3" applyFont="1" applyFill="1" applyBorder="1" applyAlignment="1">
      <alignment horizontal="center" vertical="center" wrapText="1"/>
    </xf>
    <xf numFmtId="9" fontId="2" fillId="0" borderId="42" xfId="5" applyFont="1" applyBorder="1" applyAlignment="1">
      <alignment horizontal="center" vertical="center" wrapText="1"/>
    </xf>
    <xf numFmtId="165" fontId="2" fillId="0" borderId="28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1" fillId="5" borderId="4" xfId="1" applyNumberFormat="1" applyFont="1" applyFill="1" applyBorder="1" applyAlignment="1">
      <alignment vertical="center" wrapText="1"/>
    </xf>
    <xf numFmtId="0" fontId="8" fillId="0" borderId="27" xfId="4" applyFont="1" applyFill="1" applyBorder="1" applyAlignment="1">
      <alignment horizontal="left" vertical="center" wrapText="1"/>
    </xf>
    <xf numFmtId="165" fontId="9" fillId="0" borderId="7" xfId="1" applyNumberFormat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9" fontId="11" fillId="0" borderId="41" xfId="6" applyFont="1" applyFill="1" applyBorder="1" applyAlignment="1">
      <alignment horizontal="center" vertical="center" wrapText="1"/>
    </xf>
    <xf numFmtId="165" fontId="9" fillId="0" borderId="2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9" fontId="5" fillId="0" borderId="41" xfId="6" applyFont="1" applyFill="1" applyBorder="1" applyAlignment="1">
      <alignment horizontal="center" vertical="center" wrapText="1"/>
    </xf>
    <xf numFmtId="0" fontId="2" fillId="5" borderId="11" xfId="3" applyFont="1" applyFill="1" applyBorder="1" applyAlignment="1">
      <alignment horizontal="left" vertical="top" wrapText="1"/>
    </xf>
    <xf numFmtId="0" fontId="21" fillId="0" borderId="0" xfId="0" applyFont="1"/>
    <xf numFmtId="0" fontId="19" fillId="0" borderId="0" xfId="0" applyFont="1" applyBorder="1"/>
    <xf numFmtId="165" fontId="22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9" fontId="2" fillId="4" borderId="1" xfId="5" applyFont="1" applyFill="1" applyBorder="1" applyAlignment="1">
      <alignment horizontal="right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5" fontId="2" fillId="4" borderId="30" xfId="2" applyNumberFormat="1" applyFont="1" applyFill="1" applyBorder="1" applyAlignment="1">
      <alignment horizontal="center" vertical="center"/>
    </xf>
    <xf numFmtId="165" fontId="2" fillId="0" borderId="46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19" fillId="0" borderId="0" xfId="0" applyNumberFormat="1" applyFont="1"/>
    <xf numFmtId="165" fontId="2" fillId="0" borderId="0" xfId="0" applyNumberFormat="1" applyFont="1"/>
    <xf numFmtId="165" fontId="16" fillId="0" borderId="0" xfId="0" applyNumberFormat="1" applyFont="1"/>
    <xf numFmtId="165" fontId="16" fillId="0" borderId="1" xfId="1" applyNumberFormat="1" applyFont="1" applyFill="1" applyBorder="1" applyAlignment="1">
      <alignment horizontal="right" vertical="center" wrapText="1"/>
    </xf>
    <xf numFmtId="3" fontId="3" fillId="0" borderId="0" xfId="3" applyNumberFormat="1" applyFont="1"/>
    <xf numFmtId="165" fontId="5" fillId="0" borderId="9" xfId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23" fillId="4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9" fontId="2" fillId="0" borderId="1" xfId="5" applyFont="1" applyFill="1" applyBorder="1" applyAlignment="1">
      <alignment horizontal="right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2" borderId="26" xfId="1" applyNumberFormat="1" applyFont="1" applyFill="1" applyBorder="1" applyAlignment="1">
      <alignment horizontal="right" vertical="center" wrapText="1"/>
    </xf>
    <xf numFmtId="165" fontId="3" fillId="2" borderId="9" xfId="1" applyNumberFormat="1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5" fontId="2" fillId="5" borderId="31" xfId="2" applyNumberFormat="1" applyFont="1" applyFill="1" applyBorder="1" applyAlignment="1">
      <alignment horizontal="center" vertical="center"/>
    </xf>
    <xf numFmtId="165" fontId="2" fillId="5" borderId="32" xfId="2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6" xfId="0" applyNumberFormat="1" applyFont="1" applyFill="1" applyBorder="1" applyAlignment="1">
      <alignment horizontal="center" vertical="center"/>
    </xf>
    <xf numFmtId="164" fontId="1" fillId="5" borderId="35" xfId="0" applyNumberFormat="1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65" fontId="19" fillId="3" borderId="7" xfId="1" applyNumberFormat="1" applyFont="1" applyFill="1" applyBorder="1" applyAlignment="1">
      <alignment horizontal="right" vertical="center" wrapText="1"/>
    </xf>
    <xf numFmtId="165" fontId="19" fillId="3" borderId="9" xfId="1" applyNumberFormat="1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165" fontId="1" fillId="0" borderId="37" xfId="3" applyNumberFormat="1" applyFont="1" applyBorder="1" applyAlignment="1">
      <alignment horizontal="center" vertical="center"/>
    </xf>
    <xf numFmtId="165" fontId="1" fillId="0" borderId="38" xfId="3" applyNumberFormat="1" applyFont="1" applyBorder="1" applyAlignment="1">
      <alignment horizontal="center" vertical="center"/>
    </xf>
    <xf numFmtId="0" fontId="2" fillId="4" borderId="33" xfId="3" applyFont="1" applyFill="1" applyBorder="1" applyAlignment="1">
      <alignment horizontal="center" vertical="center" wrapText="1"/>
    </xf>
    <xf numFmtId="0" fontId="2" fillId="4" borderId="37" xfId="3" applyFont="1" applyFill="1" applyBorder="1" applyAlignment="1">
      <alignment horizontal="center" vertical="center" wrapText="1"/>
    </xf>
    <xf numFmtId="0" fontId="2" fillId="5" borderId="33" xfId="3" applyFont="1" applyFill="1" applyBorder="1" applyAlignment="1">
      <alignment horizontal="center" vertical="center" wrapText="1"/>
    </xf>
    <xf numFmtId="0" fontId="2" fillId="4" borderId="34" xfId="3" applyFont="1" applyFill="1" applyBorder="1" applyAlignment="1">
      <alignment horizontal="center" vertical="center" wrapText="1"/>
    </xf>
    <xf numFmtId="0" fontId="2" fillId="4" borderId="38" xfId="3" applyFont="1" applyFill="1" applyBorder="1" applyAlignment="1">
      <alignment horizontal="center" vertical="center" wrapText="1"/>
    </xf>
    <xf numFmtId="165" fontId="1" fillId="0" borderId="39" xfId="2" applyNumberFormat="1" applyFont="1" applyBorder="1" applyAlignment="1">
      <alignment horizontal="center" vertical="center"/>
    </xf>
    <xf numFmtId="165" fontId="1" fillId="0" borderId="40" xfId="2" applyNumberFormat="1" applyFont="1" applyBorder="1" applyAlignment="1">
      <alignment horizontal="center" vertical="center"/>
    </xf>
    <xf numFmtId="0" fontId="1" fillId="0" borderId="33" xfId="3" applyFont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38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165" fontId="1" fillId="0" borderId="40" xfId="3" applyNumberFormat="1" applyFont="1" applyBorder="1" applyAlignment="1">
      <alignment horizontal="center" vertical="center"/>
    </xf>
    <xf numFmtId="0" fontId="2" fillId="4" borderId="39" xfId="3" applyFont="1" applyFill="1" applyBorder="1" applyAlignment="1">
      <alignment horizontal="center" vertical="center" wrapText="1"/>
    </xf>
    <xf numFmtId="0" fontId="2" fillId="4" borderId="40" xfId="3" applyFont="1" applyFill="1" applyBorder="1" applyAlignment="1">
      <alignment horizontal="center" vertical="center" wrapText="1"/>
    </xf>
    <xf numFmtId="164" fontId="1" fillId="5" borderId="44" xfId="1" applyNumberFormat="1" applyFont="1" applyFill="1" applyBorder="1" applyAlignment="1">
      <alignment horizontal="center" vertical="center"/>
    </xf>
    <xf numFmtId="164" fontId="1" fillId="5" borderId="43" xfId="1" applyNumberFormat="1" applyFont="1" applyFill="1" applyBorder="1" applyAlignment="1">
      <alignment horizontal="center" vertical="center"/>
    </xf>
    <xf numFmtId="164" fontId="1" fillId="5" borderId="45" xfId="1" applyNumberFormat="1" applyFont="1" applyFill="1" applyBorder="1" applyAlignment="1">
      <alignment horizontal="center" vertical="center"/>
    </xf>
    <xf numFmtId="164" fontId="1" fillId="5" borderId="10" xfId="1" applyNumberFormat="1" applyFont="1" applyFill="1" applyBorder="1" applyAlignment="1">
      <alignment horizontal="center" vertical="center"/>
    </xf>
    <xf numFmtId="0" fontId="1" fillId="4" borderId="31" xfId="3" applyFont="1" applyFill="1" applyBorder="1" applyAlignment="1">
      <alignment horizontal="center" vertical="center" wrapText="1"/>
    </xf>
    <xf numFmtId="0" fontId="1" fillId="4" borderId="32" xfId="3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" fillId="4" borderId="33" xfId="3" applyFont="1" applyFill="1" applyBorder="1" applyAlignment="1">
      <alignment horizontal="center" vertical="center" wrapText="1"/>
    </xf>
    <xf numFmtId="0" fontId="1" fillId="4" borderId="37" xfId="3" applyFont="1" applyFill="1" applyBorder="1" applyAlignment="1">
      <alignment horizontal="center" vertical="center" wrapText="1"/>
    </xf>
  </cellXfs>
  <cellStyles count="7">
    <cellStyle name="Ezres" xfId="1" builtinId="3"/>
    <cellStyle name="Ezres 2" xfId="2"/>
    <cellStyle name="Normál" xfId="0" builtinId="0"/>
    <cellStyle name="Normál 2" xfId="3"/>
    <cellStyle name="Normál 2 2" xfId="4"/>
    <cellStyle name="Százalék" xfId="5" builtinId="5"/>
    <cellStyle name="Százalék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37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29" sqref="F29"/>
    </sheetView>
  </sheetViews>
  <sheetFormatPr defaultColWidth="9.140625" defaultRowHeight="15" x14ac:dyDescent="0.25"/>
  <cols>
    <col min="1" max="1" width="44.85546875" style="39" customWidth="1"/>
    <col min="2" max="3" width="11.5703125" style="39" customWidth="1"/>
    <col min="4" max="4" width="11.5703125" style="46" customWidth="1"/>
    <col min="5" max="5" width="11.140625" style="39" customWidth="1"/>
    <col min="6" max="6" width="11.42578125" style="39" customWidth="1"/>
    <col min="7" max="7" width="9.28515625" style="39" customWidth="1"/>
    <col min="8" max="9" width="13" style="39" customWidth="1"/>
    <col min="10" max="10" width="12.140625" style="39" customWidth="1"/>
    <col min="11" max="11" width="14" style="48" customWidth="1"/>
    <col min="12" max="12" width="12" style="39" customWidth="1"/>
    <col min="13" max="13" width="10.140625" style="39" customWidth="1"/>
    <col min="14" max="14" width="9.7109375" style="39" customWidth="1"/>
    <col min="15" max="16384" width="9.140625" style="39"/>
  </cols>
  <sheetData>
    <row r="1" spans="1:14" ht="21.75" customHeight="1" x14ac:dyDescent="0.25">
      <c r="A1" s="164" t="s">
        <v>21</v>
      </c>
      <c r="B1" s="166" t="s">
        <v>43</v>
      </c>
      <c r="C1" s="166"/>
      <c r="D1" s="166"/>
      <c r="E1" s="166"/>
      <c r="F1" s="166"/>
      <c r="G1" s="167"/>
      <c r="H1" s="168" t="s">
        <v>45</v>
      </c>
      <c r="I1" s="168"/>
      <c r="J1" s="168"/>
      <c r="K1" s="168"/>
      <c r="L1" s="168"/>
      <c r="M1" s="168"/>
      <c r="N1" s="169"/>
    </row>
    <row r="2" spans="1:14" ht="58.5" x14ac:dyDescent="0.25">
      <c r="A2" s="165"/>
      <c r="B2" s="40" t="s">
        <v>80</v>
      </c>
      <c r="C2" s="40" t="s">
        <v>77</v>
      </c>
      <c r="D2" s="40" t="s">
        <v>81</v>
      </c>
      <c r="E2" s="40" t="s">
        <v>27</v>
      </c>
      <c r="F2" s="40" t="s">
        <v>59</v>
      </c>
      <c r="G2" s="41" t="s">
        <v>20</v>
      </c>
      <c r="H2" s="40" t="s">
        <v>80</v>
      </c>
      <c r="I2" s="40" t="s">
        <v>77</v>
      </c>
      <c r="J2" s="40" t="s">
        <v>82</v>
      </c>
      <c r="K2" s="42" t="s">
        <v>29</v>
      </c>
      <c r="L2" s="40" t="s">
        <v>60</v>
      </c>
      <c r="M2" s="40" t="s">
        <v>0</v>
      </c>
      <c r="N2" s="41" t="s">
        <v>20</v>
      </c>
    </row>
    <row r="3" spans="1:14" s="46" customFormat="1" ht="14.25" x14ac:dyDescent="0.2">
      <c r="A3" s="84" t="s">
        <v>1</v>
      </c>
      <c r="B3" s="99">
        <f>SUM(B4:B12)</f>
        <v>94788</v>
      </c>
      <c r="C3" s="99">
        <f>SUM(C4:C12)</f>
        <v>95388</v>
      </c>
      <c r="D3" s="99">
        <f>+E3+F3</f>
        <v>100713</v>
      </c>
      <c r="E3" s="99"/>
      <c r="F3" s="99">
        <f>SUM(F4:F12)</f>
        <v>100713</v>
      </c>
      <c r="G3" s="44">
        <f>+D3/B3</f>
        <v>1.062507912393974</v>
      </c>
      <c r="H3" s="45">
        <f>SUM(H4:H10)</f>
        <v>25369</v>
      </c>
      <c r="I3" s="45">
        <f>SUM(I4:I12)</f>
        <v>25369</v>
      </c>
      <c r="J3" s="43">
        <f t="shared" ref="J3:J28" si="0">+K3+L3+M3</f>
        <v>26566</v>
      </c>
      <c r="K3" s="43">
        <f>SUM(K4:K10)</f>
        <v>26566</v>
      </c>
      <c r="L3" s="43">
        <f>SUM(L4:L10)</f>
        <v>0</v>
      </c>
      <c r="M3" s="43">
        <f>SUM(M4:M10)</f>
        <v>0</v>
      </c>
      <c r="N3" s="44">
        <f>+J3/H3</f>
        <v>1.0471835704994283</v>
      </c>
    </row>
    <row r="4" spans="1:14" ht="30" x14ac:dyDescent="0.25">
      <c r="A4" s="85" t="s">
        <v>2</v>
      </c>
      <c r="B4" s="86">
        <v>9557</v>
      </c>
      <c r="C4" s="86">
        <v>9557</v>
      </c>
      <c r="D4" s="100">
        <f t="shared" ref="D4:D24" si="1">+E4+F4</f>
        <v>4356</v>
      </c>
      <c r="E4" s="101"/>
      <c r="F4" s="86">
        <v>4356</v>
      </c>
      <c r="G4" s="44">
        <f t="shared" ref="G4:G29" si="2">+D4/B4</f>
        <v>0.45579156639112695</v>
      </c>
      <c r="H4" s="86">
        <v>0</v>
      </c>
      <c r="I4" s="86">
        <v>0</v>
      </c>
      <c r="J4" s="100">
        <f t="shared" si="0"/>
        <v>0</v>
      </c>
      <c r="K4" s="86"/>
      <c r="L4" s="101"/>
      <c r="M4" s="101"/>
      <c r="N4" s="44"/>
    </row>
    <row r="5" spans="1:14" ht="30" x14ac:dyDescent="0.25">
      <c r="A5" s="85" t="s">
        <v>3</v>
      </c>
      <c r="B5" s="86">
        <v>12029</v>
      </c>
      <c r="C5" s="86">
        <v>12029</v>
      </c>
      <c r="D5" s="100">
        <f t="shared" si="1"/>
        <v>8962</v>
      </c>
      <c r="E5" s="101"/>
      <c r="F5" s="86">
        <v>8962</v>
      </c>
      <c r="G5" s="44">
        <f t="shared" si="2"/>
        <v>0.74503283730983461</v>
      </c>
      <c r="H5" s="86">
        <v>5039</v>
      </c>
      <c r="I5" s="86">
        <v>5039</v>
      </c>
      <c r="J5" s="100">
        <f t="shared" si="0"/>
        <v>5039</v>
      </c>
      <c r="K5" s="86">
        <v>5039</v>
      </c>
      <c r="L5" s="101"/>
      <c r="M5" s="101"/>
      <c r="N5" s="44">
        <f t="shared" ref="N5:N29" si="3">+J5/H5</f>
        <v>1</v>
      </c>
    </row>
    <row r="6" spans="1:14" x14ac:dyDescent="0.25">
      <c r="A6" s="85" t="s">
        <v>4</v>
      </c>
      <c r="B6" s="86">
        <v>4810</v>
      </c>
      <c r="C6" s="86">
        <v>4810</v>
      </c>
      <c r="D6" s="100">
        <f t="shared" si="1"/>
        <v>7488</v>
      </c>
      <c r="E6" s="101"/>
      <c r="F6" s="86">
        <v>7488</v>
      </c>
      <c r="G6" s="44">
        <f t="shared" si="2"/>
        <v>1.5567567567567568</v>
      </c>
      <c r="H6" s="86">
        <v>1540</v>
      </c>
      <c r="I6" s="86">
        <v>1540</v>
      </c>
      <c r="J6" s="100">
        <f t="shared" si="0"/>
        <v>1540</v>
      </c>
      <c r="K6" s="86">
        <v>1540</v>
      </c>
      <c r="L6" s="101"/>
      <c r="M6" s="101"/>
      <c r="N6" s="44">
        <f t="shared" si="3"/>
        <v>1</v>
      </c>
    </row>
    <row r="7" spans="1:14" x14ac:dyDescent="0.25">
      <c r="A7" s="85" t="s">
        <v>5</v>
      </c>
      <c r="B7" s="86">
        <v>7203</v>
      </c>
      <c r="C7" s="86">
        <v>7203</v>
      </c>
      <c r="D7" s="100">
        <f t="shared" si="1"/>
        <v>12649</v>
      </c>
      <c r="E7" s="101"/>
      <c r="F7" s="86">
        <v>12649</v>
      </c>
      <c r="G7" s="44">
        <f t="shared" si="2"/>
        <v>1.7560738581146744</v>
      </c>
      <c r="H7" s="86"/>
      <c r="I7" s="86">
        <v>0</v>
      </c>
      <c r="J7" s="100">
        <f t="shared" si="0"/>
        <v>0</v>
      </c>
      <c r="K7" s="86"/>
      <c r="L7" s="101"/>
      <c r="M7" s="101"/>
      <c r="N7" s="44"/>
    </row>
    <row r="8" spans="1:14" x14ac:dyDescent="0.25">
      <c r="A8" s="85" t="s">
        <v>6</v>
      </c>
      <c r="B8" s="86">
        <v>12094</v>
      </c>
      <c r="C8" s="86">
        <v>12094</v>
      </c>
      <c r="D8" s="100">
        <f t="shared" si="1"/>
        <v>19631</v>
      </c>
      <c r="E8" s="101"/>
      <c r="F8" s="86">
        <v>19631</v>
      </c>
      <c r="G8" s="44">
        <f t="shared" si="2"/>
        <v>1.6232015875640813</v>
      </c>
      <c r="H8" s="86">
        <v>10880</v>
      </c>
      <c r="I8" s="86">
        <v>10880</v>
      </c>
      <c r="J8" s="100">
        <f t="shared" si="0"/>
        <v>10912</v>
      </c>
      <c r="K8" s="86">
        <v>10912</v>
      </c>
      <c r="L8" s="101"/>
      <c r="M8" s="101"/>
      <c r="N8" s="44">
        <f t="shared" si="3"/>
        <v>1.0029411764705882</v>
      </c>
    </row>
    <row r="9" spans="1:14" ht="30" x14ac:dyDescent="0.25">
      <c r="A9" s="85" t="s">
        <v>7</v>
      </c>
      <c r="B9" s="86">
        <v>14781</v>
      </c>
      <c r="C9" s="86">
        <v>14781</v>
      </c>
      <c r="D9" s="100">
        <f t="shared" si="1"/>
        <v>43596</v>
      </c>
      <c r="E9" s="101"/>
      <c r="F9" s="86">
        <v>43596</v>
      </c>
      <c r="G9" s="44">
        <f t="shared" si="2"/>
        <v>2.9494621473513294</v>
      </c>
      <c r="H9" s="86">
        <v>7910</v>
      </c>
      <c r="I9" s="86">
        <v>7910</v>
      </c>
      <c r="J9" s="100">
        <f t="shared" si="0"/>
        <v>9075</v>
      </c>
      <c r="K9" s="86">
        <v>9075</v>
      </c>
      <c r="L9" s="101"/>
      <c r="M9" s="101"/>
      <c r="N9" s="44">
        <f t="shared" si="3"/>
        <v>1.1472819216182049</v>
      </c>
    </row>
    <row r="10" spans="1:14" ht="31.5" customHeight="1" x14ac:dyDescent="0.25">
      <c r="A10" s="85" t="s">
        <v>71</v>
      </c>
      <c r="B10" s="86">
        <v>26805</v>
      </c>
      <c r="C10" s="86">
        <f>26805+600</f>
        <v>27405</v>
      </c>
      <c r="D10" s="100">
        <f t="shared" si="1"/>
        <v>0</v>
      </c>
      <c r="E10" s="101"/>
      <c r="F10" s="86">
        <v>0</v>
      </c>
      <c r="G10" s="44">
        <f t="shared" si="2"/>
        <v>0</v>
      </c>
      <c r="H10" s="86"/>
      <c r="I10" s="86"/>
      <c r="J10" s="100">
        <f t="shared" si="0"/>
        <v>0</v>
      </c>
      <c r="K10" s="142"/>
      <c r="L10" s="142"/>
      <c r="M10" s="101"/>
      <c r="N10" s="44" t="e">
        <f t="shared" si="3"/>
        <v>#DIV/0!</v>
      </c>
    </row>
    <row r="11" spans="1:14" x14ac:dyDescent="0.25">
      <c r="A11" s="85" t="s">
        <v>70</v>
      </c>
      <c r="B11" s="86">
        <v>1550</v>
      </c>
      <c r="C11" s="86">
        <v>1550</v>
      </c>
      <c r="D11" s="100">
        <f t="shared" si="1"/>
        <v>4031</v>
      </c>
      <c r="E11" s="101"/>
      <c r="F11" s="86">
        <v>4031</v>
      </c>
      <c r="G11" s="44"/>
      <c r="H11" s="86">
        <v>0</v>
      </c>
      <c r="I11" s="86">
        <v>0</v>
      </c>
      <c r="J11" s="100">
        <f t="shared" si="0"/>
        <v>0</v>
      </c>
      <c r="K11" s="86"/>
      <c r="L11" s="101"/>
      <c r="M11" s="101"/>
      <c r="N11" s="44"/>
    </row>
    <row r="12" spans="1:14" s="48" customFormat="1" ht="30" x14ac:dyDescent="0.25">
      <c r="A12" s="162" t="s">
        <v>42</v>
      </c>
      <c r="B12" s="86">
        <f>3177+2782</f>
        <v>5959</v>
      </c>
      <c r="C12" s="86">
        <v>5959</v>
      </c>
      <c r="D12" s="100">
        <f>+E12+F12</f>
        <v>0</v>
      </c>
      <c r="E12" s="101"/>
      <c r="F12" s="86"/>
      <c r="G12" s="44">
        <f t="shared" si="2"/>
        <v>0</v>
      </c>
      <c r="H12" s="86">
        <v>0</v>
      </c>
      <c r="I12" s="86">
        <v>0</v>
      </c>
      <c r="J12" s="100">
        <v>0</v>
      </c>
      <c r="K12" s="86"/>
      <c r="L12" s="101"/>
      <c r="M12" s="101"/>
      <c r="N12" s="44"/>
    </row>
    <row r="13" spans="1:14" s="46" customFormat="1" ht="14.25" x14ac:dyDescent="0.2">
      <c r="A13" s="84" t="s">
        <v>8</v>
      </c>
      <c r="B13" s="99">
        <f>SUM(B14:B24)</f>
        <v>338033</v>
      </c>
      <c r="C13" s="99">
        <f>SUM(C14:C24)</f>
        <v>341198</v>
      </c>
      <c r="D13" s="99">
        <f t="shared" si="1"/>
        <v>360969</v>
      </c>
      <c r="E13" s="99">
        <f>SUM(E14:E24)</f>
        <v>326456</v>
      </c>
      <c r="F13" s="99">
        <f>SUM(F14:F24)</f>
        <v>34513</v>
      </c>
      <c r="G13" s="44">
        <f t="shared" si="2"/>
        <v>1.0678513636242615</v>
      </c>
      <c r="H13" s="63">
        <f>SUM(H14:H24)</f>
        <v>313288</v>
      </c>
      <c r="I13" s="63">
        <f>SUM(I14:I24)</f>
        <v>314986</v>
      </c>
      <c r="J13" s="99">
        <f t="shared" si="0"/>
        <v>315821</v>
      </c>
      <c r="K13" s="99">
        <f>SUM(K14:K24)</f>
        <v>275445</v>
      </c>
      <c r="L13" s="99">
        <f>SUM(L14:L24)</f>
        <v>35582</v>
      </c>
      <c r="M13" s="99">
        <f>SUM(M14:M24)</f>
        <v>4794</v>
      </c>
      <c r="N13" s="44">
        <f t="shared" si="3"/>
        <v>1.0080852123285922</v>
      </c>
    </row>
    <row r="14" spans="1:14" x14ac:dyDescent="0.25">
      <c r="A14" s="85" t="s">
        <v>9</v>
      </c>
      <c r="B14" s="86">
        <v>190045</v>
      </c>
      <c r="C14" s="86">
        <v>193257</v>
      </c>
      <c r="D14" s="100">
        <f t="shared" si="1"/>
        <v>206694</v>
      </c>
      <c r="E14" s="86">
        <v>190370</v>
      </c>
      <c r="F14" s="86">
        <v>16324</v>
      </c>
      <c r="G14" s="44">
        <f t="shared" si="2"/>
        <v>1.0876055671025284</v>
      </c>
      <c r="H14" s="47">
        <v>188861</v>
      </c>
      <c r="I14" s="47">
        <f>6003+2927+178180</f>
        <v>187110</v>
      </c>
      <c r="J14" s="100">
        <f t="shared" si="0"/>
        <v>187654</v>
      </c>
      <c r="K14" s="86">
        <f>153992+28194</f>
        <v>182186</v>
      </c>
      <c r="L14" s="86">
        <v>674</v>
      </c>
      <c r="M14" s="86">
        <v>4794</v>
      </c>
      <c r="N14" s="44">
        <f t="shared" si="3"/>
        <v>0.99360905639597374</v>
      </c>
    </row>
    <row r="15" spans="1:14" x14ac:dyDescent="0.25">
      <c r="A15" s="85" t="s">
        <v>74</v>
      </c>
      <c r="B15" s="86">
        <v>67133</v>
      </c>
      <c r="C15" s="86">
        <v>67231</v>
      </c>
      <c r="D15" s="100">
        <f t="shared" si="1"/>
        <v>88542</v>
      </c>
      <c r="E15" s="86">
        <v>88542</v>
      </c>
      <c r="F15" s="101"/>
      <c r="G15" s="44">
        <f t="shared" si="2"/>
        <v>1.3189042646686429</v>
      </c>
      <c r="H15" s="47">
        <v>70758</v>
      </c>
      <c r="I15" s="47">
        <f>47027+197+26934</f>
        <v>74158</v>
      </c>
      <c r="J15" s="100">
        <f t="shared" si="0"/>
        <v>83401</v>
      </c>
      <c r="K15" s="86">
        <f>54654+299</f>
        <v>54953</v>
      </c>
      <c r="L15" s="86">
        <f>21557+6891</f>
        <v>28448</v>
      </c>
      <c r="M15" s="101"/>
      <c r="N15" s="44">
        <f t="shared" si="3"/>
        <v>1.1786794426071963</v>
      </c>
    </row>
    <row r="16" spans="1:14" x14ac:dyDescent="0.25">
      <c r="A16" s="85" t="s">
        <v>10</v>
      </c>
      <c r="B16" s="86">
        <v>550</v>
      </c>
      <c r="C16" s="86">
        <v>550</v>
      </c>
      <c r="D16" s="100">
        <f t="shared" si="1"/>
        <v>550</v>
      </c>
      <c r="E16" s="86">
        <v>550</v>
      </c>
      <c r="F16" s="101"/>
      <c r="G16" s="44">
        <f t="shared" si="2"/>
        <v>1</v>
      </c>
      <c r="H16" s="47">
        <v>250</v>
      </c>
      <c r="I16" s="47">
        <v>250</v>
      </c>
      <c r="J16" s="100">
        <f t="shared" si="0"/>
        <v>280</v>
      </c>
      <c r="K16" s="86">
        <v>280</v>
      </c>
      <c r="L16" s="101"/>
      <c r="M16" s="101"/>
      <c r="N16" s="44">
        <f t="shared" si="3"/>
        <v>1.1200000000000001</v>
      </c>
    </row>
    <row r="17" spans="1:14" x14ac:dyDescent="0.25">
      <c r="A17" s="85" t="s">
        <v>11</v>
      </c>
      <c r="B17" s="86">
        <v>1741</v>
      </c>
      <c r="C17" s="86">
        <v>1741</v>
      </c>
      <c r="D17" s="100">
        <f t="shared" si="1"/>
        <v>1832</v>
      </c>
      <c r="E17" s="86">
        <v>1832</v>
      </c>
      <c r="F17" s="86"/>
      <c r="G17" s="44">
        <f t="shared" si="2"/>
        <v>1.0522688110281448</v>
      </c>
      <c r="H17" s="47"/>
      <c r="I17" s="47">
        <v>0</v>
      </c>
      <c r="J17" s="100">
        <f t="shared" si="0"/>
        <v>0</v>
      </c>
      <c r="K17" s="86"/>
      <c r="L17" s="170"/>
      <c r="M17" s="170"/>
      <c r="N17" s="44"/>
    </row>
    <row r="18" spans="1:14" x14ac:dyDescent="0.25">
      <c r="A18" s="85" t="s">
        <v>12</v>
      </c>
      <c r="B18" s="86">
        <v>3909</v>
      </c>
      <c r="C18" s="86">
        <v>3909</v>
      </c>
      <c r="D18" s="100">
        <f t="shared" si="1"/>
        <v>9537</v>
      </c>
      <c r="E18" s="101"/>
      <c r="F18" s="86">
        <v>9537</v>
      </c>
      <c r="G18" s="44">
        <f t="shared" si="2"/>
        <v>2.4397544128933233</v>
      </c>
      <c r="H18" s="47"/>
      <c r="I18" s="47">
        <v>0</v>
      </c>
      <c r="J18" s="100">
        <f t="shared" si="0"/>
        <v>0</v>
      </c>
      <c r="K18" s="86"/>
      <c r="L18" s="171"/>
      <c r="M18" s="171"/>
      <c r="N18" s="44"/>
    </row>
    <row r="19" spans="1:14" ht="16.5" customHeight="1" x14ac:dyDescent="0.25">
      <c r="A19" s="85" t="s">
        <v>13</v>
      </c>
      <c r="B19" s="86">
        <v>1455</v>
      </c>
      <c r="C19" s="86">
        <v>1455</v>
      </c>
      <c r="D19" s="100">
        <f t="shared" si="1"/>
        <v>0</v>
      </c>
      <c r="E19" s="101"/>
      <c r="F19" s="86">
        <v>0</v>
      </c>
      <c r="G19" s="44">
        <f t="shared" si="2"/>
        <v>0</v>
      </c>
      <c r="H19" s="47"/>
      <c r="I19" s="47">
        <v>0</v>
      </c>
      <c r="J19" s="100">
        <f t="shared" si="0"/>
        <v>0</v>
      </c>
      <c r="K19" s="86"/>
      <c r="L19" s="172"/>
      <c r="M19" s="172"/>
      <c r="N19" s="44"/>
    </row>
    <row r="20" spans="1:14" x14ac:dyDescent="0.25">
      <c r="A20" s="85" t="s">
        <v>14</v>
      </c>
      <c r="B20" s="86">
        <v>17286</v>
      </c>
      <c r="C20" s="86">
        <v>17286</v>
      </c>
      <c r="D20" s="100">
        <f t="shared" si="1"/>
        <v>21913</v>
      </c>
      <c r="E20" s="86">
        <v>21913</v>
      </c>
      <c r="F20" s="86">
        <v>0</v>
      </c>
      <c r="G20" s="44">
        <f t="shared" si="2"/>
        <v>1.2676732615989819</v>
      </c>
      <c r="H20" s="47">
        <v>15720</v>
      </c>
      <c r="I20" s="47">
        <v>15720</v>
      </c>
      <c r="J20" s="100">
        <f t="shared" si="0"/>
        <v>21916</v>
      </c>
      <c r="K20" s="86">
        <v>21456</v>
      </c>
      <c r="L20" s="86">
        <v>460</v>
      </c>
      <c r="M20" s="101"/>
      <c r="N20" s="44">
        <f t="shared" si="3"/>
        <v>1.394147582697201</v>
      </c>
    </row>
    <row r="21" spans="1:14" s="48" customFormat="1" ht="30" x14ac:dyDescent="0.25">
      <c r="A21" s="162" t="s">
        <v>95</v>
      </c>
      <c r="B21" s="86">
        <v>19304</v>
      </c>
      <c r="C21" s="86">
        <v>19304</v>
      </c>
      <c r="D21" s="100">
        <f>+E21+F21</f>
        <v>8652</v>
      </c>
      <c r="E21" s="86"/>
      <c r="F21" s="86">
        <v>8652</v>
      </c>
      <c r="G21" s="44">
        <f t="shared" si="2"/>
        <v>0.44819726481558225</v>
      </c>
      <c r="H21" s="47"/>
      <c r="I21" s="47">
        <v>0</v>
      </c>
      <c r="J21" s="100">
        <f t="shared" si="0"/>
        <v>0</v>
      </c>
      <c r="K21" s="86"/>
      <c r="L21" s="101"/>
      <c r="M21" s="101"/>
      <c r="N21" s="44"/>
    </row>
    <row r="22" spans="1:14" x14ac:dyDescent="0.25">
      <c r="A22" s="85" t="s">
        <v>15</v>
      </c>
      <c r="B22" s="86">
        <v>17414</v>
      </c>
      <c r="C22" s="86">
        <v>17414</v>
      </c>
      <c r="D22" s="100">
        <f t="shared" si="1"/>
        <v>6211</v>
      </c>
      <c r="E22" s="86">
        <v>6211</v>
      </c>
      <c r="F22" s="101"/>
      <c r="G22" s="44">
        <f t="shared" si="2"/>
        <v>0.35666704950040196</v>
      </c>
      <c r="H22" s="47">
        <v>17964</v>
      </c>
      <c r="I22" s="47">
        <v>17964</v>
      </c>
      <c r="J22" s="100">
        <f t="shared" si="0"/>
        <v>5911</v>
      </c>
      <c r="K22" s="86">
        <v>5911</v>
      </c>
      <c r="L22" s="86">
        <v>0</v>
      </c>
      <c r="M22" s="101"/>
      <c r="N22" s="44">
        <f t="shared" si="3"/>
        <v>0.3290469828545981</v>
      </c>
    </row>
    <row r="23" spans="1:14" x14ac:dyDescent="0.25">
      <c r="A23" s="85" t="s">
        <v>16</v>
      </c>
      <c r="B23" s="86">
        <v>2500</v>
      </c>
      <c r="C23" s="86">
        <v>2500</v>
      </c>
      <c r="D23" s="100">
        <f t="shared" si="1"/>
        <v>0</v>
      </c>
      <c r="E23" s="86">
        <v>0</v>
      </c>
      <c r="F23" s="101"/>
      <c r="G23" s="44">
        <f t="shared" si="2"/>
        <v>0</v>
      </c>
      <c r="H23" s="47">
        <v>2500</v>
      </c>
      <c r="I23" s="47">
        <v>2500</v>
      </c>
      <c r="J23" s="100">
        <f t="shared" si="0"/>
        <v>0</v>
      </c>
      <c r="K23" s="86">
        <v>0</v>
      </c>
      <c r="L23" s="101"/>
      <c r="M23" s="101"/>
      <c r="N23" s="44">
        <f t="shared" si="3"/>
        <v>0</v>
      </c>
    </row>
    <row r="24" spans="1:14" ht="45" x14ac:dyDescent="0.25">
      <c r="A24" s="85" t="s">
        <v>96</v>
      </c>
      <c r="B24" s="86">
        <v>16696</v>
      </c>
      <c r="C24" s="86">
        <v>16551</v>
      </c>
      <c r="D24" s="100">
        <f t="shared" si="1"/>
        <v>17038</v>
      </c>
      <c r="E24" s="86">
        <v>17038</v>
      </c>
      <c r="F24" s="101"/>
      <c r="G24" s="44">
        <f t="shared" si="2"/>
        <v>1.0204839482510781</v>
      </c>
      <c r="H24" s="47">
        <v>17235</v>
      </c>
      <c r="I24" s="47">
        <f>7147+10137</f>
        <v>17284</v>
      </c>
      <c r="J24" s="100">
        <f t="shared" si="0"/>
        <v>16659</v>
      </c>
      <c r="K24" s="86">
        <v>10659</v>
      </c>
      <c r="L24" s="86">
        <f>4000+2000</f>
        <v>6000</v>
      </c>
      <c r="M24" s="101"/>
      <c r="N24" s="44">
        <f t="shared" si="3"/>
        <v>0.96657963446475192</v>
      </c>
    </row>
    <row r="25" spans="1:14" s="49" customFormat="1" ht="28.5" x14ac:dyDescent="0.25">
      <c r="A25" s="79" t="s">
        <v>17</v>
      </c>
      <c r="B25" s="99"/>
      <c r="C25" s="99"/>
      <c r="D25" s="99"/>
      <c r="E25" s="99"/>
      <c r="F25" s="99"/>
      <c r="G25" s="44"/>
      <c r="H25" s="63">
        <f>SUM(H26:H28)</f>
        <v>75000</v>
      </c>
      <c r="I25" s="63">
        <f>SUM(I26:I28)</f>
        <v>75000</v>
      </c>
      <c r="J25" s="99">
        <f>+K25+L25+M25</f>
        <v>75800</v>
      </c>
      <c r="K25" s="99">
        <f>SUM(K26:K28)</f>
        <v>0</v>
      </c>
      <c r="L25" s="99">
        <f>SUM(L26:L28)</f>
        <v>75800</v>
      </c>
      <c r="M25" s="99">
        <f>SUM(M26:M28)</f>
        <v>0</v>
      </c>
      <c r="N25" s="44">
        <f t="shared" si="3"/>
        <v>1.0106666666666666</v>
      </c>
    </row>
    <row r="26" spans="1:14" x14ac:dyDescent="0.25">
      <c r="A26" s="85" t="s">
        <v>67</v>
      </c>
      <c r="B26" s="101"/>
      <c r="C26" s="101"/>
      <c r="D26" s="101"/>
      <c r="E26" s="101"/>
      <c r="F26" s="101"/>
      <c r="G26" s="44"/>
      <c r="H26" s="37">
        <v>53000</v>
      </c>
      <c r="I26" s="37">
        <v>53000</v>
      </c>
      <c r="J26" s="37">
        <f>+K26+L26+M26</f>
        <v>54800</v>
      </c>
      <c r="K26" s="101"/>
      <c r="L26" s="86">
        <v>54800</v>
      </c>
      <c r="M26" s="101"/>
      <c r="N26" s="44">
        <f t="shared" si="3"/>
        <v>1.0339622641509434</v>
      </c>
    </row>
    <row r="27" spans="1:14" x14ac:dyDescent="0.25">
      <c r="A27" s="85" t="s">
        <v>68</v>
      </c>
      <c r="B27" s="101"/>
      <c r="C27" s="101"/>
      <c r="D27" s="101"/>
      <c r="E27" s="101"/>
      <c r="F27" s="101"/>
      <c r="G27" s="44"/>
      <c r="H27" s="37">
        <v>19000</v>
      </c>
      <c r="I27" s="37">
        <v>19000</v>
      </c>
      <c r="J27" s="37">
        <f>+K27+L27+M27</f>
        <v>19000</v>
      </c>
      <c r="K27" s="101"/>
      <c r="L27" s="86">
        <v>19000</v>
      </c>
      <c r="M27" s="101"/>
      <c r="N27" s="44">
        <f t="shared" si="3"/>
        <v>1</v>
      </c>
    </row>
    <row r="28" spans="1:14" x14ac:dyDescent="0.25">
      <c r="A28" s="85" t="s">
        <v>69</v>
      </c>
      <c r="B28" s="101"/>
      <c r="C28" s="101"/>
      <c r="D28" s="101"/>
      <c r="E28" s="101"/>
      <c r="F28" s="101"/>
      <c r="G28" s="44"/>
      <c r="H28" s="38">
        <v>3000</v>
      </c>
      <c r="I28" s="38">
        <v>3000</v>
      </c>
      <c r="J28" s="37">
        <f t="shared" si="0"/>
        <v>2000</v>
      </c>
      <c r="K28" s="101"/>
      <c r="L28" s="86">
        <v>2000</v>
      </c>
      <c r="M28" s="101"/>
      <c r="N28" s="44">
        <f t="shared" si="3"/>
        <v>0.66666666666666663</v>
      </c>
    </row>
    <row r="29" spans="1:14" s="46" customFormat="1" ht="14.25" x14ac:dyDescent="0.2">
      <c r="A29" s="50" t="s">
        <v>18</v>
      </c>
      <c r="B29" s="63">
        <f t="shared" ref="B29:M29" si="4">SUM(B25,B13,B3)</f>
        <v>432821</v>
      </c>
      <c r="C29" s="63">
        <f t="shared" si="4"/>
        <v>436586</v>
      </c>
      <c r="D29" s="63">
        <f t="shared" si="4"/>
        <v>461682</v>
      </c>
      <c r="E29" s="63">
        <f t="shared" si="4"/>
        <v>326456</v>
      </c>
      <c r="F29" s="63">
        <f t="shared" si="4"/>
        <v>135226</v>
      </c>
      <c r="G29" s="44">
        <f t="shared" si="2"/>
        <v>1.0666811453233553</v>
      </c>
      <c r="H29" s="63">
        <f t="shared" si="4"/>
        <v>413657</v>
      </c>
      <c r="I29" s="63">
        <f>I3+I13+I25</f>
        <v>415355</v>
      </c>
      <c r="J29" s="63">
        <f>SUM(J25,J13,J3)</f>
        <v>418187</v>
      </c>
      <c r="K29" s="63">
        <f t="shared" si="4"/>
        <v>302011</v>
      </c>
      <c r="L29" s="63">
        <f t="shared" si="4"/>
        <v>111382</v>
      </c>
      <c r="M29" s="63">
        <f t="shared" si="4"/>
        <v>4794</v>
      </c>
      <c r="N29" s="44">
        <f t="shared" si="3"/>
        <v>1.0109511019999662</v>
      </c>
    </row>
    <row r="30" spans="1:14" s="46" customFormat="1" x14ac:dyDescent="0.2">
      <c r="A30" s="161" t="s">
        <v>93</v>
      </c>
      <c r="B30" s="99"/>
      <c r="C30" s="99"/>
      <c r="D30" s="99"/>
      <c r="E30" s="99"/>
      <c r="F30" s="99"/>
      <c r="G30" s="144"/>
      <c r="H30" s="99"/>
      <c r="I30" s="99"/>
      <c r="J30" s="99"/>
      <c r="K30" s="99"/>
      <c r="L30" s="99"/>
      <c r="M30" s="99"/>
      <c r="N30" s="144"/>
    </row>
    <row r="31" spans="1:14" x14ac:dyDescent="0.25">
      <c r="B31" s="51"/>
      <c r="C31" s="51"/>
      <c r="D31" s="49"/>
      <c r="E31" s="51"/>
      <c r="F31" s="51"/>
      <c r="G31" s="51"/>
      <c r="H31" s="51"/>
      <c r="I31" s="51"/>
      <c r="J31" s="51"/>
      <c r="K31" s="52"/>
      <c r="L31" s="51"/>
      <c r="M31" s="51"/>
      <c r="N31" s="51"/>
    </row>
    <row r="35" spans="1:11" x14ac:dyDescent="0.25">
      <c r="A35" s="53"/>
      <c r="K35" s="54"/>
    </row>
    <row r="36" spans="1:11" x14ac:dyDescent="0.25">
      <c r="A36" s="53"/>
    </row>
    <row r="37" spans="1:11" x14ac:dyDescent="0.25">
      <c r="A37" s="53"/>
    </row>
  </sheetData>
  <mergeCells count="5">
    <mergeCell ref="A1:A2"/>
    <mergeCell ref="B1:G1"/>
    <mergeCell ref="H1:N1"/>
    <mergeCell ref="L17:L19"/>
    <mergeCell ref="M17:M19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&amp;C&amp;"Times New Roman,Félkövér"&amp;12MARTONVÁSÁR VÁROS 2018. ÉVI KÖLTSÉGVETÉSI FELADATI(Költségek: E 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44"/>
  <sheetViews>
    <sheetView zoomScale="90" zoomScaleNormal="9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B47" sqref="B47"/>
    </sheetView>
  </sheetViews>
  <sheetFormatPr defaultColWidth="9.140625" defaultRowHeight="15" x14ac:dyDescent="0.25"/>
  <cols>
    <col min="1" max="1" width="43.7109375" style="62" customWidth="1"/>
    <col min="2" max="3" width="12.42578125" style="71" customWidth="1"/>
    <col min="4" max="4" width="11.7109375" style="58" customWidth="1"/>
    <col min="5" max="5" width="12.85546875" style="62" customWidth="1"/>
    <col min="6" max="6" width="12.5703125" style="62" customWidth="1"/>
    <col min="7" max="7" width="11.28515625" style="16" customWidth="1"/>
    <col min="8" max="9" width="11.28515625" style="62" customWidth="1"/>
    <col min="10" max="10" width="12.140625" style="55" customWidth="1"/>
    <col min="11" max="11" width="12.85546875" style="62" customWidth="1"/>
    <col min="12" max="12" width="12.42578125" style="62" customWidth="1"/>
    <col min="13" max="13" width="9.5703125" style="62" customWidth="1"/>
    <col min="14" max="14" width="14.5703125" style="62" customWidth="1"/>
    <col min="15" max="15" width="11.28515625" style="62" bestFit="1" customWidth="1"/>
    <col min="16" max="16" width="12.28515625" style="62" bestFit="1" customWidth="1"/>
    <col min="17" max="16384" width="9.140625" style="62"/>
  </cols>
  <sheetData>
    <row r="1" spans="1:16" s="55" customFormat="1" ht="15.75" customHeight="1" x14ac:dyDescent="0.25">
      <c r="A1" s="164" t="s">
        <v>28</v>
      </c>
      <c r="B1" s="166" t="s">
        <v>43</v>
      </c>
      <c r="C1" s="166"/>
      <c r="D1" s="166"/>
      <c r="E1" s="166"/>
      <c r="F1" s="166"/>
      <c r="G1" s="167"/>
      <c r="H1" s="188" t="s">
        <v>45</v>
      </c>
      <c r="I1" s="188"/>
      <c r="J1" s="188"/>
      <c r="K1" s="188"/>
      <c r="L1" s="188"/>
      <c r="M1" s="188"/>
      <c r="N1" s="189"/>
    </row>
    <row r="2" spans="1:16" s="55" customFormat="1" ht="58.5" x14ac:dyDescent="0.25">
      <c r="A2" s="165"/>
      <c r="B2" s="40" t="s">
        <v>83</v>
      </c>
      <c r="C2" s="40" t="s">
        <v>77</v>
      </c>
      <c r="D2" s="40" t="s">
        <v>81</v>
      </c>
      <c r="E2" s="40" t="s">
        <v>30</v>
      </c>
      <c r="F2" s="40" t="s">
        <v>59</v>
      </c>
      <c r="G2" s="56" t="s">
        <v>20</v>
      </c>
      <c r="H2" s="40" t="s">
        <v>83</v>
      </c>
      <c r="I2" s="40" t="s">
        <v>77</v>
      </c>
      <c r="J2" s="40" t="s">
        <v>82</v>
      </c>
      <c r="K2" s="42" t="s">
        <v>29</v>
      </c>
      <c r="L2" s="40" t="s">
        <v>60</v>
      </c>
      <c r="M2" s="40" t="s">
        <v>0</v>
      </c>
      <c r="N2" s="41" t="s">
        <v>20</v>
      </c>
    </row>
    <row r="3" spans="1:16" s="58" customFormat="1" ht="14.45" customHeight="1" x14ac:dyDescent="0.2">
      <c r="A3" s="79" t="s">
        <v>40</v>
      </c>
      <c r="B3" s="102">
        <f>SUM(B4:B7)</f>
        <v>254175</v>
      </c>
      <c r="C3" s="102">
        <f>SUM(C4:C7)</f>
        <v>299046</v>
      </c>
      <c r="D3" s="102">
        <f t="shared" ref="D3:D7" si="0">SUM(E3:F3)</f>
        <v>290856</v>
      </c>
      <c r="E3" s="102">
        <f>SUM(E4:E7)</f>
        <v>280689</v>
      </c>
      <c r="F3" s="102">
        <f>SUM(F4:F7)</f>
        <v>10167</v>
      </c>
      <c r="G3" s="44">
        <f>+D3/B3</f>
        <v>1.1443139569194454</v>
      </c>
      <c r="H3" s="69">
        <f>SUM(H4:H7)</f>
        <v>134157</v>
      </c>
      <c r="I3" s="69">
        <f>SUM(I4:I7)</f>
        <v>151492</v>
      </c>
      <c r="J3" s="102">
        <f>SUM(K3:M3)</f>
        <v>162119</v>
      </c>
      <c r="K3" s="102">
        <f>SUM(K4:K7)</f>
        <v>102465</v>
      </c>
      <c r="L3" s="102">
        <f>SUM(L4:L7)</f>
        <v>40454</v>
      </c>
      <c r="M3" s="102">
        <f>SUM(M4:M7)</f>
        <v>19200</v>
      </c>
      <c r="N3" s="57">
        <f>+J3/H3</f>
        <v>1.2084274394925349</v>
      </c>
      <c r="P3" s="153"/>
    </row>
    <row r="4" spans="1:16" x14ac:dyDescent="0.25">
      <c r="A4" s="77" t="s">
        <v>22</v>
      </c>
      <c r="B4" s="103">
        <v>202330</v>
      </c>
      <c r="C4" s="143">
        <v>226121</v>
      </c>
      <c r="D4" s="104">
        <f t="shared" si="0"/>
        <v>224207</v>
      </c>
      <c r="E4" s="156">
        <v>214040</v>
      </c>
      <c r="F4" s="156">
        <v>10167</v>
      </c>
      <c r="G4" s="59">
        <f t="shared" ref="G4:G32" si="1">+D4/B4</f>
        <v>1.1081253397914299</v>
      </c>
      <c r="H4" s="60">
        <v>125371</v>
      </c>
      <c r="I4" s="47">
        <v>140333</v>
      </c>
      <c r="J4" s="104">
        <f t="shared" ref="J4:J14" si="2">SUM(K4:M4)</f>
        <v>145202</v>
      </c>
      <c r="K4" s="86">
        <f>101035</f>
        <v>101035</v>
      </c>
      <c r="L4" s="156">
        <f>5409+19558</f>
        <v>24967</v>
      </c>
      <c r="M4" s="156">
        <v>19200</v>
      </c>
      <c r="N4" s="61">
        <f t="shared" ref="N4:N30" si="3">+J4/H4</f>
        <v>1.1581785261344331</v>
      </c>
    </row>
    <row r="5" spans="1:16" x14ac:dyDescent="0.25">
      <c r="A5" s="77" t="s">
        <v>23</v>
      </c>
      <c r="B5" s="103">
        <v>2982</v>
      </c>
      <c r="C5" s="143">
        <v>3053</v>
      </c>
      <c r="D5" s="104">
        <f t="shared" si="0"/>
        <v>3044</v>
      </c>
      <c r="E5" s="156">
        <v>3044</v>
      </c>
      <c r="F5" s="66"/>
      <c r="G5" s="59">
        <f t="shared" si="1"/>
        <v>1.0207914151576123</v>
      </c>
      <c r="H5" s="60">
        <v>3231</v>
      </c>
      <c r="I5" s="60">
        <v>3231</v>
      </c>
      <c r="J5" s="104">
        <f t="shared" si="2"/>
        <v>3080</v>
      </c>
      <c r="K5" s="156">
        <v>1080</v>
      </c>
      <c r="L5" s="156">
        <v>2000</v>
      </c>
      <c r="M5" s="156">
        <v>0</v>
      </c>
      <c r="N5" s="61">
        <f t="shared" si="3"/>
        <v>0.9532652429588363</v>
      </c>
    </row>
    <row r="6" spans="1:16" ht="45" x14ac:dyDescent="0.25">
      <c r="A6" s="77" t="s">
        <v>97</v>
      </c>
      <c r="B6" s="103">
        <v>43138</v>
      </c>
      <c r="C6" s="156">
        <f>73598-11799</f>
        <v>61799</v>
      </c>
      <c r="D6" s="104">
        <f t="shared" si="0"/>
        <v>57575</v>
      </c>
      <c r="E6" s="86">
        <f>50003+7572</f>
        <v>57575</v>
      </c>
      <c r="F6" s="66"/>
      <c r="G6" s="59">
        <f t="shared" si="1"/>
        <v>1.3346701284250544</v>
      </c>
      <c r="H6" s="60">
        <v>5247</v>
      </c>
      <c r="I6" s="60">
        <f>29005-21385</f>
        <v>7620</v>
      </c>
      <c r="J6" s="104">
        <f t="shared" si="2"/>
        <v>13487</v>
      </c>
      <c r="K6" s="156"/>
      <c r="L6" s="156">
        <f>4911+8576</f>
        <v>13487</v>
      </c>
      <c r="M6" s="86">
        <v>0</v>
      </c>
      <c r="N6" s="61">
        <f t="shared" si="3"/>
        <v>2.5704211930627023</v>
      </c>
    </row>
    <row r="7" spans="1:16" ht="32.450000000000003" customHeight="1" x14ac:dyDescent="0.25">
      <c r="A7" s="77" t="s">
        <v>32</v>
      </c>
      <c r="B7" s="103">
        <v>5725</v>
      </c>
      <c r="C7" s="143">
        <v>8073</v>
      </c>
      <c r="D7" s="104">
        <f t="shared" si="0"/>
        <v>6030</v>
      </c>
      <c r="E7" s="86">
        <v>6030</v>
      </c>
      <c r="F7" s="66"/>
      <c r="G7" s="59">
        <f t="shared" si="1"/>
        <v>1.0532751091703056</v>
      </c>
      <c r="H7" s="60">
        <v>308</v>
      </c>
      <c r="I7" s="60">
        <v>308</v>
      </c>
      <c r="J7" s="104">
        <f t="shared" si="2"/>
        <v>350</v>
      </c>
      <c r="K7" s="156">
        <f>275+75</f>
        <v>350</v>
      </c>
      <c r="L7" s="156"/>
      <c r="M7" s="86">
        <v>0</v>
      </c>
      <c r="N7" s="61">
        <v>0</v>
      </c>
    </row>
    <row r="8" spans="1:16" s="58" customFormat="1" ht="28.5" x14ac:dyDescent="0.2">
      <c r="A8" s="79" t="s">
        <v>34</v>
      </c>
      <c r="B8" s="102">
        <f>SUM(B9:B12)</f>
        <v>84883</v>
      </c>
      <c r="C8" s="102">
        <f>SUM(C9:C12)</f>
        <v>100184</v>
      </c>
      <c r="D8" s="102">
        <f>SUM(E8:F8)</f>
        <v>89702</v>
      </c>
      <c r="E8" s="102">
        <f>SUM(E9:E12)</f>
        <v>68183</v>
      </c>
      <c r="F8" s="102">
        <f>SUM(F9:F12)</f>
        <v>21519</v>
      </c>
      <c r="G8" s="44">
        <f t="shared" si="1"/>
        <v>1.0567722629973022</v>
      </c>
      <c r="H8" s="102">
        <f>SUM(H9:H12)</f>
        <v>12923</v>
      </c>
      <c r="I8" s="102">
        <f>SUM(I9:I12)</f>
        <v>36957</v>
      </c>
      <c r="J8" s="102">
        <f t="shared" si="2"/>
        <v>22791</v>
      </c>
      <c r="K8" s="102">
        <f>SUM(K9:K12)</f>
        <v>7184</v>
      </c>
      <c r="L8" s="102">
        <f>SUM(L9:L12)</f>
        <v>15607</v>
      </c>
      <c r="M8" s="102">
        <f>SUM(M9:M12)</f>
        <v>0</v>
      </c>
      <c r="N8" s="57">
        <f t="shared" si="3"/>
        <v>1.7635997833320436</v>
      </c>
      <c r="P8" s="153"/>
    </row>
    <row r="9" spans="1:16" x14ac:dyDescent="0.25">
      <c r="A9" s="77" t="s">
        <v>24</v>
      </c>
      <c r="B9" s="190">
        <v>76664</v>
      </c>
      <c r="C9" s="193">
        <v>91752</v>
      </c>
      <c r="D9" s="191">
        <f>SUM(E9:F10)</f>
        <v>82812</v>
      </c>
      <c r="E9" s="187">
        <v>61293</v>
      </c>
      <c r="F9" s="193">
        <v>21519</v>
      </c>
      <c r="G9" s="163">
        <f t="shared" si="1"/>
        <v>1.0801940937076073</v>
      </c>
      <c r="H9" s="60">
        <v>5958</v>
      </c>
      <c r="I9" s="60">
        <f>236+1436+6268+21937</f>
        <v>29877</v>
      </c>
      <c r="J9" s="104">
        <f t="shared" si="2"/>
        <v>15207</v>
      </c>
      <c r="K9" s="156"/>
      <c r="L9" s="156">
        <v>15207</v>
      </c>
      <c r="M9" s="103">
        <v>0</v>
      </c>
      <c r="N9" s="61">
        <f t="shared" si="3"/>
        <v>2.5523665659617323</v>
      </c>
    </row>
    <row r="10" spans="1:16" ht="15" customHeight="1" x14ac:dyDescent="0.25">
      <c r="A10" s="78" t="s">
        <v>33</v>
      </c>
      <c r="B10" s="190"/>
      <c r="C10" s="194"/>
      <c r="D10" s="192"/>
      <c r="E10" s="187"/>
      <c r="F10" s="194"/>
      <c r="G10" s="163"/>
      <c r="H10" s="60">
        <v>6965</v>
      </c>
      <c r="I10" s="60">
        <f>6965+115</f>
        <v>7080</v>
      </c>
      <c r="J10" s="104">
        <f t="shared" si="2"/>
        <v>7184</v>
      </c>
      <c r="K10" s="156">
        <v>7184</v>
      </c>
      <c r="L10" s="156"/>
      <c r="M10" s="103">
        <v>0</v>
      </c>
      <c r="N10" s="61">
        <f t="shared" si="3"/>
        <v>1.0314429289303662</v>
      </c>
    </row>
    <row r="11" spans="1:16" ht="15" customHeight="1" x14ac:dyDescent="0.25">
      <c r="A11" s="78" t="s">
        <v>35</v>
      </c>
      <c r="B11" s="105">
        <v>3000</v>
      </c>
      <c r="C11" s="145">
        <v>4500</v>
      </c>
      <c r="D11" s="106">
        <f>SUM(E11:F11)</f>
        <v>3400</v>
      </c>
      <c r="E11" s="156">
        <v>3400</v>
      </c>
      <c r="F11" s="66"/>
      <c r="G11" s="59">
        <f t="shared" si="1"/>
        <v>1.1333333333333333</v>
      </c>
      <c r="H11" s="60">
        <v>0</v>
      </c>
      <c r="I11" s="60">
        <v>0</v>
      </c>
      <c r="J11" s="104">
        <f t="shared" si="2"/>
        <v>400</v>
      </c>
      <c r="K11" s="156">
        <v>0</v>
      </c>
      <c r="L11" s="156">
        <v>400</v>
      </c>
      <c r="M11" s="103">
        <v>0</v>
      </c>
      <c r="N11" s="61"/>
    </row>
    <row r="12" spans="1:16" ht="15" customHeight="1" x14ac:dyDescent="0.25">
      <c r="A12" s="78" t="s">
        <v>61</v>
      </c>
      <c r="B12" s="105">
        <v>5219</v>
      </c>
      <c r="C12" s="145">
        <v>3932</v>
      </c>
      <c r="D12" s="106">
        <f>SUM(E12:F12)</f>
        <v>3490</v>
      </c>
      <c r="E12" s="86">
        <v>3490</v>
      </c>
      <c r="F12" s="103"/>
      <c r="G12" s="59">
        <f t="shared" si="1"/>
        <v>0.66871048093504504</v>
      </c>
      <c r="H12" s="60">
        <v>0</v>
      </c>
      <c r="I12" s="60">
        <v>0</v>
      </c>
      <c r="J12" s="104">
        <f t="shared" si="2"/>
        <v>0</v>
      </c>
      <c r="K12" s="103">
        <v>0</v>
      </c>
      <c r="L12" s="103">
        <v>0</v>
      </c>
      <c r="M12" s="103">
        <v>0</v>
      </c>
      <c r="N12" s="61"/>
    </row>
    <row r="13" spans="1:16" s="58" customFormat="1" ht="28.5" x14ac:dyDescent="0.2">
      <c r="A13" s="79" t="s">
        <v>37</v>
      </c>
      <c r="B13" s="102">
        <f>SUM(B14:B19)</f>
        <v>6000</v>
      </c>
      <c r="C13" s="102">
        <f>SUM(C14:C19)</f>
        <v>11000</v>
      </c>
      <c r="D13" s="102">
        <f>+E13+F13</f>
        <v>6000</v>
      </c>
      <c r="E13" s="102">
        <f>SUM(E14:E19)</f>
        <v>6000</v>
      </c>
      <c r="F13" s="102">
        <f>SUM(F14:F19)</f>
        <v>0</v>
      </c>
      <c r="G13" s="44">
        <f t="shared" si="1"/>
        <v>1</v>
      </c>
      <c r="H13" s="69">
        <v>0</v>
      </c>
      <c r="I13" s="69">
        <v>0</v>
      </c>
      <c r="J13" s="102">
        <f t="shared" si="2"/>
        <v>0</v>
      </c>
      <c r="K13" s="102"/>
      <c r="L13" s="102"/>
      <c r="M13" s="102"/>
      <c r="N13" s="57"/>
      <c r="P13" s="153"/>
    </row>
    <row r="14" spans="1:16" x14ac:dyDescent="0.25">
      <c r="A14" s="80" t="s">
        <v>72</v>
      </c>
      <c r="B14" s="103"/>
      <c r="C14" s="143"/>
      <c r="D14" s="104">
        <f>SUM(E14:F14)</f>
        <v>0</v>
      </c>
      <c r="E14" s="86"/>
      <c r="F14" s="86">
        <v>0</v>
      </c>
      <c r="G14" s="59"/>
      <c r="H14" s="60">
        <v>0</v>
      </c>
      <c r="I14" s="60">
        <v>0</v>
      </c>
      <c r="J14" s="104">
        <f t="shared" si="2"/>
        <v>0</v>
      </c>
      <c r="K14" s="66"/>
      <c r="L14" s="66"/>
      <c r="M14" s="66"/>
      <c r="N14" s="61"/>
    </row>
    <row r="15" spans="1:16" x14ac:dyDescent="0.25">
      <c r="A15" s="77" t="s">
        <v>38</v>
      </c>
      <c r="B15" s="103">
        <v>0</v>
      </c>
      <c r="C15" s="143">
        <v>0</v>
      </c>
      <c r="D15" s="104">
        <f t="shared" ref="D15:D21" si="4">SUM(E15:F15)</f>
        <v>0</v>
      </c>
      <c r="E15" s="86"/>
      <c r="F15" s="66"/>
      <c r="G15" s="59"/>
      <c r="H15" s="60">
        <v>0</v>
      </c>
      <c r="I15" s="60">
        <v>0</v>
      </c>
      <c r="J15" s="104">
        <f t="shared" ref="J15:J21" si="5">SUM(K15:M15)</f>
        <v>0</v>
      </c>
      <c r="K15" s="66"/>
      <c r="L15" s="66"/>
      <c r="M15" s="66"/>
      <c r="N15" s="61"/>
    </row>
    <row r="16" spans="1:16" x14ac:dyDescent="0.25">
      <c r="A16" s="77" t="s">
        <v>39</v>
      </c>
      <c r="B16" s="103">
        <v>0</v>
      </c>
      <c r="C16" s="143">
        <v>0</v>
      </c>
      <c r="D16" s="104">
        <f t="shared" si="4"/>
        <v>0</v>
      </c>
      <c r="E16" s="86"/>
      <c r="F16" s="66"/>
      <c r="G16" s="59"/>
      <c r="H16" s="60">
        <v>0</v>
      </c>
      <c r="I16" s="60">
        <v>0</v>
      </c>
      <c r="J16" s="104">
        <f t="shared" si="5"/>
        <v>0</v>
      </c>
      <c r="K16" s="66"/>
      <c r="L16" s="66"/>
      <c r="M16" s="66"/>
      <c r="N16" s="61"/>
    </row>
    <row r="17" spans="1:16" x14ac:dyDescent="0.25">
      <c r="A17" s="77" t="s">
        <v>73</v>
      </c>
      <c r="B17" s="103"/>
      <c r="C17" s="143"/>
      <c r="D17" s="104">
        <f t="shared" si="4"/>
        <v>0</v>
      </c>
      <c r="E17" s="86"/>
      <c r="F17" s="86"/>
      <c r="G17" s="59" t="e">
        <f>+D17/B17</f>
        <v>#DIV/0!</v>
      </c>
      <c r="H17" s="60">
        <v>0</v>
      </c>
      <c r="I17" s="60">
        <v>0</v>
      </c>
      <c r="J17" s="104">
        <f t="shared" si="5"/>
        <v>0</v>
      </c>
      <c r="K17" s="66"/>
      <c r="L17" s="66"/>
      <c r="M17" s="66"/>
      <c r="N17" s="61"/>
    </row>
    <row r="18" spans="1:16" x14ac:dyDescent="0.25">
      <c r="A18" s="77" t="s">
        <v>36</v>
      </c>
      <c r="B18" s="103">
        <v>6000</v>
      </c>
      <c r="C18" s="143">
        <v>6000</v>
      </c>
      <c r="D18" s="104">
        <f t="shared" si="4"/>
        <v>6000</v>
      </c>
      <c r="E18" s="86">
        <v>6000</v>
      </c>
      <c r="F18" s="66"/>
      <c r="G18" s="59">
        <f>+D18/B18</f>
        <v>1</v>
      </c>
      <c r="H18" s="60">
        <v>0</v>
      </c>
      <c r="I18" s="60">
        <v>0</v>
      </c>
      <c r="J18" s="104">
        <f t="shared" si="5"/>
        <v>0</v>
      </c>
      <c r="K18" s="66"/>
      <c r="L18" s="66"/>
      <c r="M18" s="66"/>
      <c r="N18" s="61"/>
    </row>
    <row r="19" spans="1:16" ht="30" x14ac:dyDescent="0.25">
      <c r="A19" s="77" t="s">
        <v>88</v>
      </c>
      <c r="B19" s="103"/>
      <c r="C19" s="143">
        <v>5000</v>
      </c>
      <c r="D19" s="104">
        <f t="shared" si="4"/>
        <v>0</v>
      </c>
      <c r="E19" s="86">
        <v>0</v>
      </c>
      <c r="F19" s="66"/>
      <c r="G19" s="59" t="e">
        <f>+D19/B19</f>
        <v>#DIV/0!</v>
      </c>
      <c r="H19" s="60">
        <v>0</v>
      </c>
      <c r="I19" s="60">
        <v>0</v>
      </c>
      <c r="J19" s="104">
        <f t="shared" si="5"/>
        <v>0</v>
      </c>
      <c r="K19" s="66"/>
      <c r="L19" s="66"/>
      <c r="M19" s="66"/>
      <c r="N19" s="61"/>
    </row>
    <row r="20" spans="1:16" s="58" customFormat="1" ht="14.25" x14ac:dyDescent="0.2">
      <c r="A20" s="79" t="s">
        <v>41</v>
      </c>
      <c r="B20" s="102">
        <f t="shared" ref="B20:C20" si="6">SUM(B21:B21)</f>
        <v>1000</v>
      </c>
      <c r="C20" s="102">
        <f t="shared" si="6"/>
        <v>1853</v>
      </c>
      <c r="D20" s="102">
        <f>+E20+F20</f>
        <v>1000</v>
      </c>
      <c r="E20" s="102">
        <f>SUM(E21:E21)</f>
        <v>1000</v>
      </c>
      <c r="F20" s="102">
        <f>SUM(F21:F21)</f>
        <v>0</v>
      </c>
      <c r="G20" s="44">
        <f>+D20/B20</f>
        <v>1</v>
      </c>
      <c r="H20" s="69">
        <v>0</v>
      </c>
      <c r="I20" s="69">
        <v>0</v>
      </c>
      <c r="J20" s="102">
        <f>SUM(K20:M20)</f>
        <v>0</v>
      </c>
      <c r="K20" s="102"/>
      <c r="L20" s="102"/>
      <c r="M20" s="102"/>
      <c r="N20" s="57"/>
      <c r="P20" s="153"/>
    </row>
    <row r="21" spans="1:16" ht="60" x14ac:dyDescent="0.25">
      <c r="A21" s="77" t="s">
        <v>79</v>
      </c>
      <c r="B21" s="103">
        <v>1000</v>
      </c>
      <c r="C21" s="143">
        <v>1853</v>
      </c>
      <c r="D21" s="104">
        <f t="shared" si="4"/>
        <v>1000</v>
      </c>
      <c r="E21" s="86">
        <v>1000</v>
      </c>
      <c r="F21" s="66"/>
      <c r="G21" s="59">
        <f t="shared" si="1"/>
        <v>1</v>
      </c>
      <c r="H21" s="60">
        <v>0</v>
      </c>
      <c r="I21" s="60">
        <v>0</v>
      </c>
      <c r="J21" s="104">
        <f t="shared" si="5"/>
        <v>0</v>
      </c>
      <c r="K21" s="66"/>
      <c r="L21" s="66"/>
      <c r="M21" s="66"/>
      <c r="N21" s="61"/>
    </row>
    <row r="22" spans="1:16" s="64" customFormat="1" ht="14.25" x14ac:dyDescent="0.2">
      <c r="A22" s="81" t="s">
        <v>25</v>
      </c>
      <c r="B22" s="99">
        <f t="shared" ref="B22:C22" si="7">SUM(B23:B24)</f>
        <v>0</v>
      </c>
      <c r="C22" s="99">
        <f t="shared" si="7"/>
        <v>3589</v>
      </c>
      <c r="D22" s="99">
        <f>+E22+F22</f>
        <v>4927</v>
      </c>
      <c r="E22" s="99">
        <f>SUM(E23:E24)</f>
        <v>4927</v>
      </c>
      <c r="F22" s="99">
        <f>SUM(F23:F24)</f>
        <v>0</v>
      </c>
      <c r="G22" s="44" t="e">
        <f t="shared" si="1"/>
        <v>#DIV/0!</v>
      </c>
      <c r="H22" s="63">
        <f>H23+H24</f>
        <v>4403</v>
      </c>
      <c r="I22" s="63">
        <f>I23+I24</f>
        <v>19680</v>
      </c>
      <c r="J22" s="99">
        <f t="shared" ref="J22:J31" si="8">SUM(K22:M22)</f>
        <v>4927</v>
      </c>
      <c r="K22" s="99">
        <f>SUM(K23:K23)</f>
        <v>0</v>
      </c>
      <c r="L22" s="99">
        <f>SUM(L23:L23)</f>
        <v>0</v>
      </c>
      <c r="M22" s="99">
        <f>SUM(M23:M24)</f>
        <v>4927</v>
      </c>
      <c r="N22" s="44">
        <f t="shared" si="3"/>
        <v>1.1190097660685896</v>
      </c>
      <c r="P22" s="154"/>
    </row>
    <row r="23" spans="1:16" s="16" customFormat="1" x14ac:dyDescent="0.25">
      <c r="A23" s="82" t="s">
        <v>31</v>
      </c>
      <c r="B23" s="86"/>
      <c r="C23" s="86"/>
      <c r="D23" s="100">
        <f>+E23+F23</f>
        <v>0</v>
      </c>
      <c r="E23" s="86"/>
      <c r="F23" s="101"/>
      <c r="G23" s="59"/>
      <c r="H23" s="47">
        <v>0</v>
      </c>
      <c r="I23" s="47">
        <v>16091</v>
      </c>
      <c r="J23" s="100">
        <f t="shared" si="8"/>
        <v>0</v>
      </c>
      <c r="K23" s="101"/>
      <c r="L23" s="101"/>
      <c r="M23" s="101"/>
      <c r="N23" s="59"/>
    </row>
    <row r="24" spans="1:16" s="16" customFormat="1" x14ac:dyDescent="0.25">
      <c r="A24" s="82" t="s">
        <v>26</v>
      </c>
      <c r="B24" s="86"/>
      <c r="C24" s="86">
        <v>3589</v>
      </c>
      <c r="D24" s="100">
        <f>+E24+F24</f>
        <v>4927</v>
      </c>
      <c r="E24" s="86">
        <v>4927</v>
      </c>
      <c r="F24" s="101"/>
      <c r="G24" s="59" t="e">
        <f t="shared" si="1"/>
        <v>#DIV/0!</v>
      </c>
      <c r="H24" s="47">
        <v>4403</v>
      </c>
      <c r="I24" s="47">
        <v>3589</v>
      </c>
      <c r="J24" s="100">
        <f t="shared" si="8"/>
        <v>4927</v>
      </c>
      <c r="K24" s="101"/>
      <c r="L24" s="101"/>
      <c r="M24" s="86">
        <v>4927</v>
      </c>
      <c r="N24" s="59">
        <f t="shared" si="3"/>
        <v>1.1190097660685896</v>
      </c>
    </row>
    <row r="25" spans="1:16" x14ac:dyDescent="0.25">
      <c r="A25" s="83" t="s">
        <v>78</v>
      </c>
      <c r="B25" s="65">
        <f t="shared" ref="B25:C25" si="9">+B31</f>
        <v>25600</v>
      </c>
      <c r="C25" s="65">
        <f t="shared" si="9"/>
        <v>22532</v>
      </c>
      <c r="D25" s="65">
        <f>+D31</f>
        <v>10000</v>
      </c>
      <c r="E25" s="65">
        <f>+E31</f>
        <v>10000</v>
      </c>
      <c r="F25" s="65">
        <f>+F31</f>
        <v>0</v>
      </c>
      <c r="G25" s="59">
        <f t="shared" si="1"/>
        <v>0.390625</v>
      </c>
      <c r="H25" s="65">
        <f>SUM(H26:H31)</f>
        <v>226241</v>
      </c>
      <c r="I25" s="65">
        <f>SUM(I26:I31)</f>
        <v>228597</v>
      </c>
      <c r="J25" s="107">
        <f t="shared" si="8"/>
        <v>256143</v>
      </c>
      <c r="K25" s="108">
        <f>SUM(K26:K31)</f>
        <v>0</v>
      </c>
      <c r="L25" s="102">
        <f>SUM(L26:L31)</f>
        <v>256143</v>
      </c>
      <c r="M25" s="108">
        <f>SUM(M26:M31)</f>
        <v>0</v>
      </c>
      <c r="N25" s="57">
        <f t="shared" si="3"/>
        <v>1.1321687934547673</v>
      </c>
      <c r="P25" s="155"/>
    </row>
    <row r="26" spans="1:16" x14ac:dyDescent="0.25">
      <c r="A26" s="77" t="s">
        <v>62</v>
      </c>
      <c r="B26" s="66"/>
      <c r="C26" s="66">
        <v>0</v>
      </c>
      <c r="D26" s="66"/>
      <c r="E26" s="66"/>
      <c r="F26" s="66"/>
      <c r="G26" s="59"/>
      <c r="H26" s="60">
        <v>3500</v>
      </c>
      <c r="I26" s="60">
        <v>3500</v>
      </c>
      <c r="J26" s="104">
        <f t="shared" si="8"/>
        <v>3500</v>
      </c>
      <c r="K26" s="66"/>
      <c r="L26" s="156">
        <v>3500</v>
      </c>
      <c r="M26" s="66"/>
      <c r="N26" s="61">
        <f t="shared" si="3"/>
        <v>1</v>
      </c>
    </row>
    <row r="27" spans="1:16" x14ac:dyDescent="0.25">
      <c r="A27" s="77" t="s">
        <v>63</v>
      </c>
      <c r="B27" s="66"/>
      <c r="C27" s="66">
        <v>0</v>
      </c>
      <c r="D27" s="66"/>
      <c r="E27" s="66"/>
      <c r="F27" s="66"/>
      <c r="G27" s="59"/>
      <c r="H27" s="60">
        <v>141000</v>
      </c>
      <c r="I27" s="60">
        <v>141000</v>
      </c>
      <c r="J27" s="104">
        <f t="shared" si="8"/>
        <v>149600</v>
      </c>
      <c r="K27" s="66"/>
      <c r="L27" s="156">
        <v>149600</v>
      </c>
      <c r="M27" s="66"/>
      <c r="N27" s="61">
        <f t="shared" si="3"/>
        <v>1.0609929078014184</v>
      </c>
    </row>
    <row r="28" spans="1:16" x14ac:dyDescent="0.25">
      <c r="A28" s="77" t="s">
        <v>64</v>
      </c>
      <c r="B28" s="66"/>
      <c r="C28" s="66">
        <v>0</v>
      </c>
      <c r="D28" s="66"/>
      <c r="E28" s="66"/>
      <c r="F28" s="66"/>
      <c r="G28" s="59"/>
      <c r="H28" s="60">
        <v>48000</v>
      </c>
      <c r="I28" s="60">
        <v>48000</v>
      </c>
      <c r="J28" s="104">
        <f t="shared" si="8"/>
        <v>72000</v>
      </c>
      <c r="K28" s="66"/>
      <c r="L28" s="86">
        <v>72000</v>
      </c>
      <c r="M28" s="66"/>
      <c r="N28" s="61">
        <f t="shared" si="3"/>
        <v>1.5</v>
      </c>
    </row>
    <row r="29" spans="1:16" x14ac:dyDescent="0.25">
      <c r="A29" s="77" t="s">
        <v>65</v>
      </c>
      <c r="B29" s="66"/>
      <c r="C29" s="66">
        <v>0</v>
      </c>
      <c r="D29" s="66"/>
      <c r="E29" s="66"/>
      <c r="F29" s="66"/>
      <c r="G29" s="59"/>
      <c r="H29" s="60">
        <v>25000</v>
      </c>
      <c r="I29" s="60">
        <v>25000</v>
      </c>
      <c r="J29" s="104">
        <f t="shared" si="8"/>
        <v>31000</v>
      </c>
      <c r="K29" s="66"/>
      <c r="L29" s="156">
        <v>31000</v>
      </c>
      <c r="M29" s="66"/>
      <c r="N29" s="61">
        <f t="shared" si="3"/>
        <v>1.24</v>
      </c>
    </row>
    <row r="30" spans="1:16" ht="56.45" customHeight="1" x14ac:dyDescent="0.25">
      <c r="A30" s="77" t="s">
        <v>66</v>
      </c>
      <c r="B30" s="66"/>
      <c r="C30" s="66">
        <v>0</v>
      </c>
      <c r="D30" s="66"/>
      <c r="E30" s="66"/>
      <c r="F30" s="66"/>
      <c r="G30" s="59"/>
      <c r="H30" s="60">
        <v>4347</v>
      </c>
      <c r="I30" s="60">
        <v>6703</v>
      </c>
      <c r="J30" s="104">
        <f t="shared" si="8"/>
        <v>43</v>
      </c>
      <c r="K30" s="66"/>
      <c r="L30" s="156">
        <v>43</v>
      </c>
      <c r="M30" s="103">
        <v>0</v>
      </c>
      <c r="N30" s="61">
        <f t="shared" si="3"/>
        <v>9.8918794570968492E-3</v>
      </c>
      <c r="P30" s="67"/>
    </row>
    <row r="31" spans="1:16" s="16" customFormat="1" x14ac:dyDescent="0.25">
      <c r="A31" s="82" t="s">
        <v>89</v>
      </c>
      <c r="B31" s="86">
        <v>25600</v>
      </c>
      <c r="C31" s="86">
        <v>22532</v>
      </c>
      <c r="D31" s="100">
        <f>+E31</f>
        <v>10000</v>
      </c>
      <c r="E31" s="47">
        <v>10000</v>
      </c>
      <c r="F31" s="101"/>
      <c r="G31" s="59">
        <f t="shared" si="1"/>
        <v>0.390625</v>
      </c>
      <c r="H31" s="47">
        <v>4394</v>
      </c>
      <c r="I31" s="47">
        <v>4394</v>
      </c>
      <c r="J31" s="100">
        <f t="shared" si="8"/>
        <v>0</v>
      </c>
      <c r="K31" s="101"/>
      <c r="L31" s="86">
        <v>0</v>
      </c>
      <c r="M31" s="101"/>
      <c r="N31" s="59">
        <f>+J31/H31</f>
        <v>0</v>
      </c>
    </row>
    <row r="32" spans="1:16" s="70" customFormat="1" ht="14.25" x14ac:dyDescent="0.2">
      <c r="A32" s="68" t="s">
        <v>18</v>
      </c>
      <c r="B32" s="69">
        <f t="shared" ref="B32:C32" si="10">SUM(B25,B20,B22,B13,B8,B3)</f>
        <v>371658</v>
      </c>
      <c r="C32" s="69">
        <f t="shared" si="10"/>
        <v>438204</v>
      </c>
      <c r="D32" s="69">
        <f>SUM(D25,D20,D22,D13,D8,D3)</f>
        <v>402485</v>
      </c>
      <c r="E32" s="69">
        <f>SUM(E25,E20,E22,E13,E8,E3)</f>
        <v>370799</v>
      </c>
      <c r="F32" s="69">
        <f>SUM(F25,F20,F22,F13,F8,F3)</f>
        <v>31686</v>
      </c>
      <c r="G32" s="59">
        <f t="shared" si="1"/>
        <v>1.0829445350295164</v>
      </c>
      <c r="H32" s="69">
        <f t="shared" ref="H32:M32" si="11">SUM(H25,H22,H20,H13,H8,H3)</f>
        <v>377724</v>
      </c>
      <c r="I32" s="69">
        <f t="shared" si="11"/>
        <v>436726</v>
      </c>
      <c r="J32" s="69">
        <f t="shared" si="11"/>
        <v>445980</v>
      </c>
      <c r="K32" s="69">
        <f t="shared" si="11"/>
        <v>109649</v>
      </c>
      <c r="L32" s="69">
        <f t="shared" si="11"/>
        <v>312204</v>
      </c>
      <c r="M32" s="69">
        <f t="shared" si="11"/>
        <v>24127</v>
      </c>
      <c r="N32" s="91">
        <f>+J32/H32</f>
        <v>1.1807033707151253</v>
      </c>
    </row>
    <row r="33" spans="1:14" ht="15.75" x14ac:dyDescent="0.25">
      <c r="A33" s="159" t="s">
        <v>94</v>
      </c>
      <c r="D33" s="49"/>
      <c r="E33" s="72"/>
      <c r="F33" s="72"/>
      <c r="G33" s="73"/>
      <c r="H33" s="74"/>
      <c r="I33" s="74"/>
      <c r="J33" s="75"/>
      <c r="K33" s="74"/>
      <c r="L33" s="74"/>
      <c r="M33" s="74"/>
      <c r="N33" s="76"/>
    </row>
    <row r="34" spans="1:14" ht="15.75" thickBot="1" x14ac:dyDescent="0.3"/>
    <row r="35" spans="1:14" s="16" customFormat="1" ht="31.5" customHeight="1" thickBot="1" x14ac:dyDescent="0.3">
      <c r="A35" s="88" t="s">
        <v>55</v>
      </c>
      <c r="B35" s="12">
        <v>88051</v>
      </c>
      <c r="C35" s="12">
        <v>113154</v>
      </c>
      <c r="D35" s="89">
        <f>+E35+F35</f>
        <v>96499</v>
      </c>
      <c r="E35" s="12">
        <v>96499</v>
      </c>
      <c r="F35" s="12"/>
      <c r="G35" s="13">
        <f>+E35/B35</f>
        <v>1.0959443958614894</v>
      </c>
      <c r="H35" s="14">
        <v>88051</v>
      </c>
      <c r="I35" s="89">
        <v>113154</v>
      </c>
      <c r="J35" s="89">
        <f>+K35</f>
        <v>96499</v>
      </c>
      <c r="K35" s="12">
        <v>96499</v>
      </c>
      <c r="L35" s="12"/>
      <c r="M35" s="12"/>
      <c r="N35" s="13">
        <f>+J35/H35</f>
        <v>1.0959443958614894</v>
      </c>
    </row>
    <row r="36" spans="1:14" s="16" customFormat="1" ht="18.75" x14ac:dyDescent="0.3">
      <c r="A36" s="160"/>
      <c r="B36" s="87"/>
      <c r="C36" s="87"/>
      <c r="D36" s="18"/>
      <c r="E36" s="19"/>
      <c r="F36" s="19"/>
      <c r="G36" s="11"/>
      <c r="H36" s="92"/>
      <c r="I36" s="92"/>
      <c r="J36" s="92"/>
      <c r="K36" s="92"/>
      <c r="L36" s="92"/>
      <c r="M36" s="92"/>
      <c r="N36" s="11"/>
    </row>
    <row r="37" spans="1:14" s="16" customFormat="1" ht="16.5" thickBot="1" x14ac:dyDescent="0.3">
      <c r="A37" s="17"/>
      <c r="B37" s="21"/>
      <c r="C37" s="21"/>
      <c r="D37" s="22"/>
      <c r="E37" s="17"/>
      <c r="F37" s="17"/>
      <c r="G37" s="23"/>
      <c r="H37" s="93"/>
      <c r="I37" s="93"/>
      <c r="J37" s="94"/>
      <c r="K37" s="93"/>
      <c r="L37" s="93"/>
      <c r="M37" s="93"/>
      <c r="N37" s="11"/>
    </row>
    <row r="38" spans="1:14" s="16" customFormat="1" ht="15.75" x14ac:dyDescent="0.25">
      <c r="A38" s="173" t="s">
        <v>56</v>
      </c>
      <c r="B38" s="174"/>
      <c r="C38" s="174"/>
      <c r="D38" s="174"/>
      <c r="E38" s="175"/>
      <c r="F38" s="179">
        <f>+L39-J39</f>
        <v>0</v>
      </c>
      <c r="G38" s="33"/>
      <c r="H38" s="34"/>
      <c r="I38" s="34"/>
      <c r="J38" s="181" t="s">
        <v>53</v>
      </c>
      <c r="K38" s="181"/>
      <c r="L38" s="181" t="s">
        <v>54</v>
      </c>
      <c r="M38" s="182"/>
      <c r="N38" s="11"/>
    </row>
    <row r="39" spans="1:14" s="16" customFormat="1" ht="16.5" thickBot="1" x14ac:dyDescent="0.3">
      <c r="A39" s="176"/>
      <c r="B39" s="177"/>
      <c r="C39" s="177"/>
      <c r="D39" s="177"/>
      <c r="E39" s="178"/>
      <c r="F39" s="180"/>
      <c r="G39" s="35"/>
      <c r="H39" s="36"/>
      <c r="I39" s="147"/>
      <c r="J39" s="183">
        <f>+D32+'Polgárok közvetlen szolg.'!D29+D35</f>
        <v>960666</v>
      </c>
      <c r="K39" s="184"/>
      <c r="L39" s="185">
        <f>+J32+'Polgárok közvetlen szolg.'!J29+J35</f>
        <v>960666</v>
      </c>
      <c r="M39" s="186"/>
      <c r="N39" s="11"/>
    </row>
    <row r="40" spans="1:14" s="16" customFormat="1" ht="15.75" thickBot="1" x14ac:dyDescent="0.3">
      <c r="A40" s="24"/>
      <c r="B40" s="25"/>
      <c r="C40" s="25"/>
      <c r="D40" s="26"/>
      <c r="E40" s="24"/>
      <c r="F40" s="24"/>
      <c r="G40" s="24"/>
      <c r="H40" s="24"/>
      <c r="I40" s="24"/>
      <c r="J40" s="21"/>
      <c r="K40" s="24"/>
      <c r="L40" s="24"/>
      <c r="M40" s="24"/>
      <c r="N40" s="24"/>
    </row>
    <row r="41" spans="1:14" s="16" customFormat="1" ht="32.25" customHeight="1" thickBot="1" x14ac:dyDescent="0.3">
      <c r="A41" s="27" t="s">
        <v>57</v>
      </c>
      <c r="B41" s="28"/>
      <c r="C41" s="146"/>
      <c r="D41" s="29">
        <f>+L39-J39</f>
        <v>0</v>
      </c>
      <c r="E41" s="30"/>
      <c r="F41" s="12"/>
      <c r="G41" s="13"/>
      <c r="H41" s="14"/>
      <c r="I41" s="14"/>
      <c r="J41" s="15"/>
      <c r="K41" s="12"/>
      <c r="L41" s="12"/>
      <c r="M41" s="20"/>
      <c r="N41" s="11"/>
    </row>
    <row r="43" spans="1:14" x14ac:dyDescent="0.25">
      <c r="A43" s="140"/>
    </row>
    <row r="44" spans="1:14" x14ac:dyDescent="0.25">
      <c r="D44" s="141"/>
    </row>
  </sheetData>
  <mergeCells count="14">
    <mergeCell ref="A1:A2"/>
    <mergeCell ref="B1:G1"/>
    <mergeCell ref="E9:E10"/>
    <mergeCell ref="H1:N1"/>
    <mergeCell ref="B9:B10"/>
    <mergeCell ref="D9:D10"/>
    <mergeCell ref="C9:C10"/>
    <mergeCell ref="F9:F10"/>
    <mergeCell ref="A38:E39"/>
    <mergeCell ref="F38:F39"/>
    <mergeCell ref="J38:K38"/>
    <mergeCell ref="L38:M38"/>
    <mergeCell ref="J39:K39"/>
    <mergeCell ref="L39:M39"/>
  </mergeCells>
  <pageMargins left="0.70866141732283472" right="0.70866141732283472" top="0.74803149606299213" bottom="0.74803149606299213" header="0.31496062992125984" footer="0.31496062992125984"/>
  <pageSetup paperSize="8" scale="84" orientation="landscape" r:id="rId1"/>
  <headerFooter>
    <oddHeader>&amp;C&amp;"Times New Roman,Félkövér"&amp;12MARTONVÁSÁR VÁROS 2018. ÉVI KÖLTSÉGVETÉSI FELADATI(Költségek: E Ft-ban)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2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activeCellId="2" sqref="H19 D4 D11"/>
    </sheetView>
  </sheetViews>
  <sheetFormatPr defaultColWidth="9.140625" defaultRowHeight="15" x14ac:dyDescent="0.25"/>
  <cols>
    <col min="1" max="1" width="22.5703125" style="2" customWidth="1"/>
    <col min="2" max="3" width="14.85546875" style="2" customWidth="1"/>
    <col min="4" max="4" width="15.7109375" style="3" customWidth="1"/>
    <col min="5" max="5" width="15.140625" style="2" customWidth="1"/>
    <col min="6" max="6" width="11.7109375" style="2" customWidth="1"/>
    <col min="7" max="7" width="11.28515625" style="2" customWidth="1"/>
    <col min="8" max="9" width="13.140625" style="2" customWidth="1"/>
    <col min="10" max="10" width="16.28515625" style="3" bestFit="1" customWidth="1"/>
    <col min="11" max="11" width="12" style="2" customWidth="1"/>
    <col min="12" max="12" width="14.5703125" style="2" bestFit="1" customWidth="1"/>
    <col min="13" max="13" width="17.140625" style="2" customWidth="1"/>
    <col min="14" max="14" width="8.7109375" style="2" customWidth="1"/>
    <col min="15" max="16384" width="9.140625" style="2"/>
  </cols>
  <sheetData>
    <row r="1" spans="1:14" s="1" customFormat="1" ht="16.5" customHeight="1" x14ac:dyDescent="0.25">
      <c r="A1" s="218" t="s">
        <v>58</v>
      </c>
      <c r="B1" s="220" t="s">
        <v>84</v>
      </c>
      <c r="C1" s="216" t="s">
        <v>77</v>
      </c>
      <c r="D1" s="197" t="s">
        <v>81</v>
      </c>
      <c r="E1" s="199" t="s">
        <v>43</v>
      </c>
      <c r="F1" s="199"/>
      <c r="G1" s="200" t="s">
        <v>44</v>
      </c>
      <c r="H1" s="210" t="s">
        <v>85</v>
      </c>
      <c r="I1" s="216" t="s">
        <v>77</v>
      </c>
      <c r="J1" s="197" t="s">
        <v>82</v>
      </c>
      <c r="K1" s="199" t="s">
        <v>45</v>
      </c>
      <c r="L1" s="199"/>
      <c r="M1" s="199"/>
      <c r="N1" s="200" t="s">
        <v>44</v>
      </c>
    </row>
    <row r="2" spans="1:14" s="1" customFormat="1" ht="40.5" customHeight="1" thickBot="1" x14ac:dyDescent="0.3">
      <c r="A2" s="219"/>
      <c r="B2" s="221"/>
      <c r="C2" s="217"/>
      <c r="D2" s="198"/>
      <c r="E2" s="125" t="s">
        <v>46</v>
      </c>
      <c r="F2" s="125" t="s">
        <v>47</v>
      </c>
      <c r="G2" s="201"/>
      <c r="H2" s="211"/>
      <c r="I2" s="217"/>
      <c r="J2" s="198"/>
      <c r="K2" s="125" t="s">
        <v>29</v>
      </c>
      <c r="L2" s="125" t="s">
        <v>48</v>
      </c>
      <c r="M2" s="125" t="s">
        <v>0</v>
      </c>
      <c r="N2" s="201"/>
    </row>
    <row r="3" spans="1:14" s="1" customFormat="1" ht="30" x14ac:dyDescent="0.25">
      <c r="A3" s="119" t="s">
        <v>90</v>
      </c>
      <c r="B3" s="120"/>
      <c r="C3" s="120">
        <v>10682</v>
      </c>
      <c r="D3" s="121">
        <f t="shared" ref="D3:D11" si="0">+E3+F3</f>
        <v>11200</v>
      </c>
      <c r="E3" s="158">
        <v>11200</v>
      </c>
      <c r="F3" s="122">
        <v>0</v>
      </c>
      <c r="G3" s="126"/>
      <c r="H3" s="127"/>
      <c r="I3" s="148">
        <v>10682</v>
      </c>
      <c r="J3" s="123">
        <f>+K3+L3+M3</f>
        <v>11200</v>
      </c>
      <c r="K3" s="124">
        <v>0</v>
      </c>
      <c r="L3" s="158">
        <v>11200</v>
      </c>
      <c r="M3" s="122"/>
      <c r="N3" s="95"/>
    </row>
    <row r="4" spans="1:14" s="1" customFormat="1" ht="30" x14ac:dyDescent="0.25">
      <c r="A4" s="116" t="s">
        <v>86</v>
      </c>
      <c r="B4" s="114">
        <v>892434</v>
      </c>
      <c r="C4" s="114">
        <f>1089010+165+2223+12509</f>
        <v>1103907</v>
      </c>
      <c r="D4" s="109">
        <f>E4+F4</f>
        <v>695941</v>
      </c>
      <c r="E4" s="111">
        <f>3810+17068+675063</f>
        <v>695941</v>
      </c>
      <c r="F4" s="110"/>
      <c r="G4" s="126">
        <f t="shared" ref="G4:G11" si="1">+D4/B4</f>
        <v>0.77982349395025286</v>
      </c>
      <c r="H4" s="128">
        <v>815774</v>
      </c>
      <c r="I4" s="149">
        <f>1017787+2183</f>
        <v>1019970</v>
      </c>
      <c r="J4" s="90">
        <f>+K4+L4+M4</f>
        <v>668656</v>
      </c>
      <c r="K4" s="113"/>
      <c r="L4" s="111">
        <v>551550</v>
      </c>
      <c r="M4" s="111">
        <v>117106</v>
      </c>
      <c r="N4" s="95">
        <f>+J4/H4</f>
        <v>0.8196583857784141</v>
      </c>
    </row>
    <row r="5" spans="1:14" s="1" customFormat="1" ht="15.75" x14ac:dyDescent="0.25">
      <c r="A5" s="116" t="s">
        <v>75</v>
      </c>
      <c r="B5" s="114"/>
      <c r="C5" s="114"/>
      <c r="D5" s="109">
        <f t="shared" si="0"/>
        <v>0</v>
      </c>
      <c r="E5" s="111">
        <v>0</v>
      </c>
      <c r="F5" s="110"/>
      <c r="G5" s="126"/>
      <c r="H5" s="128">
        <v>0</v>
      </c>
      <c r="I5" s="149">
        <v>0</v>
      </c>
      <c r="J5" s="90">
        <f t="shared" ref="J5:J11" si="2">+K5+L5+M5</f>
        <v>0</v>
      </c>
      <c r="K5" s="113">
        <v>0</v>
      </c>
      <c r="L5" s="111"/>
      <c r="M5" s="111"/>
      <c r="N5" s="31"/>
    </row>
    <row r="6" spans="1:14" ht="30" x14ac:dyDescent="0.25">
      <c r="A6" s="116" t="s">
        <v>49</v>
      </c>
      <c r="B6" s="110">
        <v>92508</v>
      </c>
      <c r="C6" s="110">
        <v>83780</v>
      </c>
      <c r="D6" s="109">
        <f t="shared" si="0"/>
        <v>9558</v>
      </c>
      <c r="E6" s="111">
        <v>9558</v>
      </c>
      <c r="F6" s="111">
        <v>0</v>
      </c>
      <c r="G6" s="126">
        <f t="shared" si="1"/>
        <v>0.10332079387728629</v>
      </c>
      <c r="H6" s="129">
        <v>82680</v>
      </c>
      <c r="I6" s="150">
        <v>82680</v>
      </c>
      <c r="J6" s="90">
        <f t="shared" si="2"/>
        <v>36843</v>
      </c>
      <c r="K6" s="111"/>
      <c r="L6" s="111">
        <v>13668</v>
      </c>
      <c r="M6" s="111">
        <v>23175</v>
      </c>
      <c r="N6" s="95">
        <f>+J6/H6</f>
        <v>0.44560957910014515</v>
      </c>
    </row>
    <row r="7" spans="1:14" ht="15.75" x14ac:dyDescent="0.25">
      <c r="A7" s="117" t="s">
        <v>50</v>
      </c>
      <c r="B7" s="110"/>
      <c r="C7" s="110"/>
      <c r="D7" s="109">
        <f t="shared" si="0"/>
        <v>0</v>
      </c>
      <c r="E7" s="111">
        <v>0</v>
      </c>
      <c r="F7" s="111">
        <v>0</v>
      </c>
      <c r="G7" s="126"/>
      <c r="H7" s="129"/>
      <c r="I7" s="150"/>
      <c r="J7" s="90">
        <f t="shared" si="2"/>
        <v>0</v>
      </c>
      <c r="K7" s="111"/>
      <c r="L7" s="111"/>
      <c r="M7" s="111"/>
      <c r="N7" s="95"/>
    </row>
    <row r="8" spans="1:14" ht="15.75" x14ac:dyDescent="0.25">
      <c r="A8" s="117" t="s">
        <v>91</v>
      </c>
      <c r="B8" s="110">
        <v>19500</v>
      </c>
      <c r="C8" s="110">
        <f>-3509+4091</f>
        <v>582</v>
      </c>
      <c r="D8" s="109">
        <f t="shared" si="0"/>
        <v>33000</v>
      </c>
      <c r="E8" s="111">
        <v>33000</v>
      </c>
      <c r="F8" s="111">
        <v>0</v>
      </c>
      <c r="G8" s="126">
        <f t="shared" si="1"/>
        <v>1.6923076923076923</v>
      </c>
      <c r="H8" s="129">
        <v>19500</v>
      </c>
      <c r="I8" s="150">
        <v>19500</v>
      </c>
      <c r="J8" s="90">
        <f t="shared" si="2"/>
        <v>33000</v>
      </c>
      <c r="K8" s="111"/>
      <c r="L8" s="111">
        <v>33000</v>
      </c>
      <c r="M8" s="111"/>
      <c r="N8" s="95">
        <f>+J8/H8</f>
        <v>1.6923076923076923</v>
      </c>
    </row>
    <row r="9" spans="1:14" ht="15.75" x14ac:dyDescent="0.25">
      <c r="A9" s="117" t="s">
        <v>76</v>
      </c>
      <c r="B9" s="110">
        <v>2340</v>
      </c>
      <c r="C9" s="110">
        <v>0</v>
      </c>
      <c r="D9" s="109">
        <f t="shared" si="0"/>
        <v>0</v>
      </c>
      <c r="E9" s="111">
        <v>0</v>
      </c>
      <c r="F9" s="111"/>
      <c r="G9" s="126"/>
      <c r="H9" s="129">
        <v>2340</v>
      </c>
      <c r="I9" s="150">
        <v>2340</v>
      </c>
      <c r="J9" s="90">
        <f t="shared" si="2"/>
        <v>0</v>
      </c>
      <c r="K9" s="111"/>
      <c r="L9" s="111">
        <v>0</v>
      </c>
      <c r="M9" s="111"/>
      <c r="N9" s="95"/>
    </row>
    <row r="10" spans="1:14" ht="15.75" x14ac:dyDescent="0.25">
      <c r="A10" s="117" t="s">
        <v>87</v>
      </c>
      <c r="B10" s="110">
        <v>0</v>
      </c>
      <c r="C10" s="110"/>
      <c r="D10" s="109">
        <f t="shared" si="0"/>
        <v>0</v>
      </c>
      <c r="E10" s="111"/>
      <c r="F10" s="111">
        <v>0</v>
      </c>
      <c r="G10" s="126"/>
      <c r="H10" s="129">
        <v>117500</v>
      </c>
      <c r="I10" s="150">
        <v>117500</v>
      </c>
      <c r="J10" s="90">
        <f t="shared" si="2"/>
        <v>0</v>
      </c>
      <c r="K10" s="111"/>
      <c r="L10" s="111">
        <v>0</v>
      </c>
      <c r="M10" s="111"/>
      <c r="N10" s="95"/>
    </row>
    <row r="11" spans="1:14" ht="15.75" x14ac:dyDescent="0.25">
      <c r="A11" s="117" t="s">
        <v>92</v>
      </c>
      <c r="B11" s="110">
        <v>773010</v>
      </c>
      <c r="C11" s="110">
        <v>773010</v>
      </c>
      <c r="D11" s="109">
        <f t="shared" si="0"/>
        <v>506127</v>
      </c>
      <c r="E11" s="111">
        <v>506127</v>
      </c>
      <c r="F11" s="111">
        <v>0</v>
      </c>
      <c r="G11" s="126">
        <f t="shared" si="1"/>
        <v>0.65474832149648776</v>
      </c>
      <c r="H11" s="129">
        <v>741998</v>
      </c>
      <c r="I11" s="150">
        <v>741998</v>
      </c>
      <c r="J11" s="90">
        <f t="shared" si="2"/>
        <v>506127</v>
      </c>
      <c r="K11" s="111"/>
      <c r="L11" s="111">
        <f>29431+49669+101217+325810</f>
        <v>506127</v>
      </c>
      <c r="M11" s="111"/>
      <c r="N11" s="95">
        <f>+J11/H11</f>
        <v>0.68211369841967229</v>
      </c>
    </row>
    <row r="12" spans="1:14" s="3" customFormat="1" ht="15.75" x14ac:dyDescent="0.2">
      <c r="A12" s="118" t="s">
        <v>18</v>
      </c>
      <c r="B12" s="115">
        <f>SUM(B3:B11)</f>
        <v>1779792</v>
      </c>
      <c r="C12" s="115">
        <f>SUM(C3:C11)</f>
        <v>1971961</v>
      </c>
      <c r="D12" s="115">
        <f>SUM(D3:D11)</f>
        <v>1255826</v>
      </c>
      <c r="E12" s="115">
        <f>SUM(E3:E11)</f>
        <v>1255826</v>
      </c>
      <c r="F12" s="112">
        <f>SUM(F3:F11)</f>
        <v>0</v>
      </c>
      <c r="G12" s="96">
        <f>+D12/B12</f>
        <v>0.70560267716677005</v>
      </c>
      <c r="H12" s="130">
        <f t="shared" ref="H12:M12" si="3">SUM(H3:H11)</f>
        <v>1779792</v>
      </c>
      <c r="I12" s="151">
        <f t="shared" si="3"/>
        <v>1994670</v>
      </c>
      <c r="J12" s="112">
        <f t="shared" si="3"/>
        <v>1255826</v>
      </c>
      <c r="K12" s="112">
        <f t="shared" si="3"/>
        <v>0</v>
      </c>
      <c r="L12" s="112">
        <f t="shared" si="3"/>
        <v>1115545</v>
      </c>
      <c r="M12" s="112">
        <f t="shared" si="3"/>
        <v>140281</v>
      </c>
      <c r="N12" s="32">
        <f>+J12/H12</f>
        <v>0.70560267716677005</v>
      </c>
    </row>
    <row r="13" spans="1:14" ht="26.25" thickBot="1" x14ac:dyDescent="0.3">
      <c r="A13" s="131" t="s">
        <v>51</v>
      </c>
      <c r="B13" s="132"/>
      <c r="C13" s="132"/>
      <c r="D13" s="133"/>
      <c r="E13" s="134"/>
      <c r="F13" s="134"/>
      <c r="G13" s="135"/>
      <c r="H13" s="136"/>
      <c r="I13" s="152"/>
      <c r="J13" s="134">
        <f>+'Városigazgatás-Közösségszerv.'!D41</f>
        <v>0</v>
      </c>
      <c r="K13" s="137"/>
      <c r="L13" s="137"/>
      <c r="M13" s="137"/>
      <c r="N13" s="138"/>
    </row>
    <row r="14" spans="1:14" s="3" customFormat="1" ht="16.5" thickBot="1" x14ac:dyDescent="0.25">
      <c r="A14" s="139" t="s">
        <v>19</v>
      </c>
      <c r="B14" s="212">
        <f>+D12</f>
        <v>1255826</v>
      </c>
      <c r="C14" s="213"/>
      <c r="D14" s="213"/>
      <c r="E14" s="213"/>
      <c r="F14" s="213"/>
      <c r="G14" s="214"/>
      <c r="H14" s="215">
        <f>+J12+J13</f>
        <v>1255826</v>
      </c>
      <c r="I14" s="213"/>
      <c r="J14" s="213"/>
      <c r="K14" s="213"/>
      <c r="L14" s="213"/>
      <c r="M14" s="213"/>
      <c r="N14" s="214"/>
    </row>
    <row r="15" spans="1:14" s="3" customFormat="1" ht="16.5" thickBot="1" x14ac:dyDescent="0.25">
      <c r="A15" s="4"/>
      <c r="B15" s="4"/>
      <c r="C15" s="4"/>
      <c r="D15" s="5"/>
      <c r="E15" s="5"/>
      <c r="F15" s="5"/>
      <c r="G15" s="97"/>
      <c r="H15" s="6"/>
      <c r="I15" s="6"/>
      <c r="J15" s="5"/>
      <c r="K15" s="5"/>
      <c r="L15" s="5"/>
      <c r="M15" s="5"/>
      <c r="N15" s="5"/>
    </row>
    <row r="16" spans="1:14" s="7" customFormat="1" ht="15.75" x14ac:dyDescent="0.25">
      <c r="D16" s="202">
        <f>+M17-K17</f>
        <v>0</v>
      </c>
      <c r="E16" s="204" t="s">
        <v>52</v>
      </c>
      <c r="F16" s="205"/>
      <c r="G16" s="98"/>
      <c r="H16" s="8"/>
      <c r="I16" s="8"/>
      <c r="J16" s="9"/>
      <c r="K16" s="208" t="s">
        <v>53</v>
      </c>
      <c r="L16" s="204"/>
      <c r="M16" s="204" t="s">
        <v>54</v>
      </c>
      <c r="N16" s="205"/>
    </row>
    <row r="17" spans="2:14" s="7" customFormat="1" ht="16.5" thickBot="1" x14ac:dyDescent="0.3">
      <c r="D17" s="203"/>
      <c r="E17" s="206"/>
      <c r="F17" s="207"/>
      <c r="G17" s="98"/>
      <c r="H17" s="8"/>
      <c r="I17" s="8"/>
      <c r="J17" s="9"/>
      <c r="K17" s="209">
        <f>+B14+'Városigazgatás-Közösségszerv.'!D32+'Városigazgatás-Közösségszerv.'!D35+'Polgárok közvetlen szolg.'!D29</f>
        <v>2216492</v>
      </c>
      <c r="L17" s="195"/>
      <c r="M17" s="195">
        <f>+J12+'Városigazgatás-Közösségszerv.'!J35+'Városigazgatás-Közösségszerv.'!J32+'Polgárok közvetlen szolg.'!J29</f>
        <v>2216492</v>
      </c>
      <c r="N17" s="196"/>
    </row>
    <row r="18" spans="2:14" s="7" customFormat="1" ht="15.75" x14ac:dyDescent="0.25">
      <c r="D18" s="9"/>
      <c r="G18" s="2"/>
      <c r="J18" s="9"/>
    </row>
    <row r="19" spans="2:14" x14ac:dyDescent="0.25">
      <c r="L19" s="10"/>
    </row>
    <row r="20" spans="2:14" x14ac:dyDescent="0.25">
      <c r="B20" s="157"/>
      <c r="C20" s="157"/>
      <c r="H20" s="157"/>
      <c r="I20" s="157"/>
      <c r="K20" s="10"/>
      <c r="L20" s="10"/>
      <c r="M20" s="10"/>
    </row>
    <row r="21" spans="2:14" x14ac:dyDescent="0.25">
      <c r="I21" s="157"/>
    </row>
    <row r="22" spans="2:14" x14ac:dyDescent="0.25">
      <c r="L22" s="10"/>
    </row>
  </sheetData>
  <mergeCells count="19">
    <mergeCell ref="A1:A2"/>
    <mergeCell ref="B1:B2"/>
    <mergeCell ref="D1:D2"/>
    <mergeCell ref="E1:F1"/>
    <mergeCell ref="G1:G2"/>
    <mergeCell ref="M17:N17"/>
    <mergeCell ref="J1:J2"/>
    <mergeCell ref="K1:M1"/>
    <mergeCell ref="N1:N2"/>
    <mergeCell ref="D16:D17"/>
    <mergeCell ref="E16:F17"/>
    <mergeCell ref="K16:L16"/>
    <mergeCell ref="M16:N16"/>
    <mergeCell ref="K17:L17"/>
    <mergeCell ref="H1:H2"/>
    <mergeCell ref="B14:G14"/>
    <mergeCell ref="H14:N14"/>
    <mergeCell ref="I1:I2"/>
    <mergeCell ref="C1:C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Roman,Félkövér"&amp;12MARTONVÁSÁR VÁROS 2018. ÉVI KÖLTSÉGVETÉSI FELADATI(Költségek: E Ft-ban)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Polgárok közvetlen szolg.</vt:lpstr>
      <vt:lpstr>Városigazgatás-Közösségszerv.</vt:lpstr>
      <vt:lpstr>Felhalmozási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2020-01-24T11:43:48Z</dcterms:modified>
</cp:coreProperties>
</file>