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185" tabRatio="844" activeTab="1"/>
  </bookViews>
  <sheets>
    <sheet name="Polgárok közvetlen szolg." sheetId="3" r:id="rId1"/>
    <sheet name="Városigazgatás-Közösségszerv." sheetId="4" r:id="rId2"/>
    <sheet name="Felhalmozási" sheetId="7" r:id="rId3"/>
  </sheets>
  <calcPr calcId="152511"/>
</workbook>
</file>

<file path=xl/calcChain.xml><?xml version="1.0" encoding="utf-8"?>
<calcChain xmlns="http://schemas.openxmlformats.org/spreadsheetml/2006/main">
  <c r="L4" i="4" l="1"/>
  <c r="K4" i="4"/>
  <c r="E31" i="4"/>
  <c r="B13" i="4" l="1"/>
  <c r="B8" i="4"/>
  <c r="B3" i="4"/>
  <c r="I12" i="7" l="1"/>
  <c r="C12" i="7"/>
  <c r="I25" i="4"/>
  <c r="I22" i="4"/>
  <c r="C22" i="4"/>
  <c r="C13" i="4"/>
  <c r="I8" i="4"/>
  <c r="C8" i="4"/>
  <c r="I3" i="4"/>
  <c r="C3" i="4"/>
  <c r="I25" i="3"/>
  <c r="I13" i="3"/>
  <c r="C13" i="3"/>
  <c r="I3" i="3"/>
  <c r="C3" i="3"/>
  <c r="I29" i="3" l="1"/>
  <c r="E6" i="7" l="1"/>
  <c r="L6" i="4"/>
  <c r="M6" i="7"/>
  <c r="K15" i="3" l="1"/>
  <c r="L10" i="7" l="1"/>
  <c r="E6" i="4" l="1"/>
  <c r="L5" i="4"/>
  <c r="K24" i="3" l="1"/>
  <c r="L11" i="7" l="1"/>
  <c r="L3" i="4"/>
  <c r="J4" i="7"/>
  <c r="E4" i="7"/>
  <c r="D4" i="7"/>
  <c r="F12" i="3" l="1"/>
  <c r="D5" i="3"/>
  <c r="D4" i="3"/>
  <c r="E24" i="3" l="1"/>
  <c r="E4" i="4" l="1"/>
  <c r="E5" i="4"/>
  <c r="L24" i="3"/>
  <c r="E15" i="3" l="1"/>
  <c r="L30" i="4" l="1"/>
  <c r="E22" i="3"/>
  <c r="H32" i="4" l="1"/>
  <c r="H12" i="7" l="1"/>
  <c r="D35" i="4"/>
  <c r="B15" i="3"/>
  <c r="H10" i="3"/>
  <c r="D21" i="3" l="1"/>
  <c r="G21" i="3" s="1"/>
  <c r="D22" i="3"/>
  <c r="D23" i="3"/>
  <c r="J17" i="3"/>
  <c r="J18" i="3"/>
  <c r="J19" i="3"/>
  <c r="J20" i="3"/>
  <c r="J21" i="3"/>
  <c r="J22" i="3"/>
  <c r="J3" i="7"/>
  <c r="D8" i="7"/>
  <c r="D9" i="7"/>
  <c r="D10" i="7"/>
  <c r="J9" i="7"/>
  <c r="J10" i="7"/>
  <c r="J11" i="7"/>
  <c r="N11" i="7" s="1"/>
  <c r="J5" i="7"/>
  <c r="J6" i="7"/>
  <c r="J7" i="7"/>
  <c r="J8" i="7"/>
  <c r="D5" i="7"/>
  <c r="G5" i="7" s="1"/>
  <c r="D6" i="7"/>
  <c r="G6" i="7" s="1"/>
  <c r="D7" i="7"/>
  <c r="G7" i="7" s="1"/>
  <c r="D11" i="7"/>
  <c r="G11" i="7" s="1"/>
  <c r="J35" i="4"/>
  <c r="D16" i="4"/>
  <c r="D17" i="4"/>
  <c r="G17" i="4" s="1"/>
  <c r="D18" i="4"/>
  <c r="G18" i="4" s="1"/>
  <c r="J11" i="3"/>
  <c r="D11" i="3"/>
  <c r="K12" i="7" l="1"/>
  <c r="L12" i="7"/>
  <c r="M12" i="7"/>
  <c r="E12" i="7"/>
  <c r="B12" i="7"/>
  <c r="D31" i="4" l="1"/>
  <c r="G31" i="4" s="1"/>
  <c r="B3" i="3"/>
  <c r="J12" i="7" l="1"/>
  <c r="F12" i="7"/>
  <c r="L25" i="4"/>
  <c r="J27" i="3"/>
  <c r="N27" i="3" s="1"/>
  <c r="J26" i="3"/>
  <c r="N26" i="3" s="1"/>
  <c r="F3" i="3"/>
  <c r="D3" i="3" s="1"/>
  <c r="D12" i="4"/>
  <c r="G12" i="4" s="1"/>
  <c r="N35" i="4"/>
  <c r="G35" i="4"/>
  <c r="D3" i="7"/>
  <c r="G3" i="7" s="1"/>
  <c r="N6" i="7"/>
  <c r="D24" i="4"/>
  <c r="G24" i="4" s="1"/>
  <c r="D25" i="4"/>
  <c r="G25" i="4" s="1"/>
  <c r="E25" i="4"/>
  <c r="F25" i="4"/>
  <c r="D12" i="3"/>
  <c r="G12" i="3" s="1"/>
  <c r="B13" i="3"/>
  <c r="B29" i="3" s="1"/>
  <c r="F20" i="4"/>
  <c r="E20" i="4"/>
  <c r="J20" i="4"/>
  <c r="J27" i="4"/>
  <c r="N27" i="4" s="1"/>
  <c r="J28" i="4"/>
  <c r="N28" i="4" s="1"/>
  <c r="J29" i="4"/>
  <c r="N29" i="4" s="1"/>
  <c r="J30" i="4"/>
  <c r="N30" i="4" s="1"/>
  <c r="J31" i="4"/>
  <c r="N31" i="4" s="1"/>
  <c r="J26" i="4"/>
  <c r="N26" i="4" s="1"/>
  <c r="J23" i="4"/>
  <c r="J24" i="4"/>
  <c r="N24" i="4" s="1"/>
  <c r="J15" i="4"/>
  <c r="J16" i="4"/>
  <c r="J17" i="4"/>
  <c r="J18" i="4"/>
  <c r="J19" i="4"/>
  <c r="J21" i="4"/>
  <c r="J14" i="4"/>
  <c r="J10" i="4"/>
  <c r="N10" i="4" s="1"/>
  <c r="J11" i="4"/>
  <c r="J12" i="4"/>
  <c r="J9" i="4"/>
  <c r="N9" i="4" s="1"/>
  <c r="J5" i="4"/>
  <c r="N5" i="4" s="1"/>
  <c r="J6" i="4"/>
  <c r="N6" i="4" s="1"/>
  <c r="J7" i="4"/>
  <c r="J4" i="4"/>
  <c r="N4" i="4" s="1"/>
  <c r="F13" i="4"/>
  <c r="E13" i="4"/>
  <c r="D13" i="4" s="1"/>
  <c r="M8" i="4"/>
  <c r="L8" i="4"/>
  <c r="K8" i="4"/>
  <c r="D11" i="4"/>
  <c r="G11" i="4" s="1"/>
  <c r="F8" i="4"/>
  <c r="D7" i="4"/>
  <c r="G7" i="4" s="1"/>
  <c r="D19" i="4"/>
  <c r="G19" i="4" s="1"/>
  <c r="M25" i="4"/>
  <c r="M3" i="4"/>
  <c r="J13" i="4"/>
  <c r="K3" i="4"/>
  <c r="J3" i="4" s="1"/>
  <c r="D15" i="4"/>
  <c r="D21" i="4"/>
  <c r="G21" i="4" s="1"/>
  <c r="D14" i="4"/>
  <c r="D9" i="4"/>
  <c r="D5" i="4"/>
  <c r="G5" i="4" s="1"/>
  <c r="D6" i="4"/>
  <c r="G6" i="4" s="1"/>
  <c r="D4" i="4"/>
  <c r="G4" i="4" s="1"/>
  <c r="F3" i="4"/>
  <c r="E3" i="4"/>
  <c r="H25" i="3"/>
  <c r="H13" i="3"/>
  <c r="H3" i="3"/>
  <c r="K25" i="4"/>
  <c r="D23" i="4"/>
  <c r="M22" i="4"/>
  <c r="L22" i="4"/>
  <c r="K22" i="4"/>
  <c r="F22" i="4"/>
  <c r="E22" i="4"/>
  <c r="J28" i="3"/>
  <c r="N28" i="3" s="1"/>
  <c r="M25" i="3"/>
  <c r="L25" i="3"/>
  <c r="K25" i="3"/>
  <c r="J24" i="3"/>
  <c r="N24" i="3" s="1"/>
  <c r="D24" i="3"/>
  <c r="G24" i="3" s="1"/>
  <c r="J23" i="3"/>
  <c r="N23" i="3" s="1"/>
  <c r="G23" i="3"/>
  <c r="N22" i="3"/>
  <c r="G22" i="3"/>
  <c r="N20" i="3"/>
  <c r="D20" i="3"/>
  <c r="G20" i="3" s="1"/>
  <c r="D19" i="3"/>
  <c r="G19" i="3" s="1"/>
  <c r="D18" i="3"/>
  <c r="G18" i="3" s="1"/>
  <c r="D17" i="3"/>
  <c r="G17" i="3" s="1"/>
  <c r="J16" i="3"/>
  <c r="N16" i="3" s="1"/>
  <c r="D16" i="3"/>
  <c r="G16" i="3" s="1"/>
  <c r="J15" i="3"/>
  <c r="N15" i="3" s="1"/>
  <c r="D15" i="3"/>
  <c r="G15" i="3" s="1"/>
  <c r="J14" i="3"/>
  <c r="N14" i="3" s="1"/>
  <c r="D14" i="3"/>
  <c r="G14" i="3" s="1"/>
  <c r="M13" i="3"/>
  <c r="L13" i="3"/>
  <c r="K13" i="3"/>
  <c r="F13" i="3"/>
  <c r="E13" i="3"/>
  <c r="E29" i="3" s="1"/>
  <c r="J10" i="3"/>
  <c r="N10" i="3" s="1"/>
  <c r="D10" i="3"/>
  <c r="G10" i="3" s="1"/>
  <c r="J9" i="3"/>
  <c r="N9" i="3" s="1"/>
  <c r="D9" i="3"/>
  <c r="G9" i="3" s="1"/>
  <c r="J8" i="3"/>
  <c r="N8" i="3" s="1"/>
  <c r="D8" i="3"/>
  <c r="G8" i="3" s="1"/>
  <c r="J7" i="3"/>
  <c r="D7" i="3"/>
  <c r="G7" i="3" s="1"/>
  <c r="J6" i="3"/>
  <c r="N6" i="3" s="1"/>
  <c r="D6" i="3"/>
  <c r="G6" i="3" s="1"/>
  <c r="J5" i="3"/>
  <c r="N5" i="3" s="1"/>
  <c r="G5" i="3"/>
  <c r="J4" i="3"/>
  <c r="G4" i="3"/>
  <c r="M3" i="3"/>
  <c r="L3" i="3"/>
  <c r="K3" i="3"/>
  <c r="F29" i="3" l="1"/>
  <c r="M29" i="3"/>
  <c r="L29" i="3"/>
  <c r="H29" i="3"/>
  <c r="K29" i="3"/>
  <c r="D12" i="7"/>
  <c r="G12" i="7" s="1"/>
  <c r="G3" i="3"/>
  <c r="J3" i="3"/>
  <c r="J13" i="3"/>
  <c r="N13" i="3" s="1"/>
  <c r="D20" i="4"/>
  <c r="G20" i="4" s="1"/>
  <c r="D13" i="3"/>
  <c r="D22" i="4"/>
  <c r="G22" i="4" s="1"/>
  <c r="J8" i="4"/>
  <c r="N8" i="4" s="1"/>
  <c r="G13" i="4"/>
  <c r="F32" i="4"/>
  <c r="J22" i="4"/>
  <c r="N22" i="4" s="1"/>
  <c r="G9" i="4"/>
  <c r="K32" i="4"/>
  <c r="E8" i="4"/>
  <c r="D3" i="4"/>
  <c r="N3" i="4"/>
  <c r="M32" i="4"/>
  <c r="N12" i="7"/>
  <c r="J25" i="4"/>
  <c r="L32" i="4"/>
  <c r="J25" i="3"/>
  <c r="N25" i="3" s="1"/>
  <c r="D8" i="4" l="1"/>
  <c r="G8" i="4" s="1"/>
  <c r="G3" i="4"/>
  <c r="J29" i="3"/>
  <c r="N29" i="3" s="1"/>
  <c r="G13" i="3"/>
  <c r="D29" i="3"/>
  <c r="G29" i="3" s="1"/>
  <c r="N3" i="3"/>
  <c r="E32" i="4"/>
  <c r="B14" i="7"/>
  <c r="J32" i="4"/>
  <c r="N25" i="4"/>
  <c r="D32" i="4" l="1"/>
  <c r="K17" i="7"/>
  <c r="N32" i="4"/>
  <c r="L39" i="4"/>
  <c r="M17" i="7"/>
  <c r="G32" i="4" l="1"/>
  <c r="J39" i="4"/>
  <c r="D41" i="4"/>
  <c r="J13" i="7" s="1"/>
  <c r="H14" i="7" s="1"/>
  <c r="D16" i="7"/>
  <c r="F38" i="4"/>
</calcChain>
</file>

<file path=xl/sharedStrings.xml><?xml version="1.0" encoding="utf-8"?>
<sst xmlns="http://schemas.openxmlformats.org/spreadsheetml/2006/main" count="127" uniqueCount="98">
  <si>
    <t>Egyéb befizetés, pályázat</t>
  </si>
  <si>
    <t>Városüzemeltetési alapfeladatok</t>
  </si>
  <si>
    <t>Települési hulladékgazdálkodás (hulladékgyűjtők, hó- és síkosság mentesítés, szennyvíz-szállítás)</t>
  </si>
  <si>
    <t>Út, járda karbantartás (kátyúzás, padkázás, táblák stb.)</t>
  </si>
  <si>
    <t>Köztemető</t>
  </si>
  <si>
    <t>Helyi közösségi közlekedés</t>
  </si>
  <si>
    <t>Közvilágítás, karbantartás</t>
  </si>
  <si>
    <t>Zöldterület kezelés (fűvágás, gallyazás, szemétszedés-seprés, locsolás, virágosítás, fásítás)</t>
  </si>
  <si>
    <t>Intézmények, szolgáltatások, támogatások</t>
  </si>
  <si>
    <t>Brunszvik Teréz Óvoda</t>
  </si>
  <si>
    <t>Iskolatej (óvodatej)</t>
  </si>
  <si>
    <t>Egészségügyi kiadások (labor, stb.)</t>
  </si>
  <si>
    <t>Háziorvosi rendelő, egészségház</t>
  </si>
  <si>
    <t>Gyermekorvosi, fogorvosi rendelő</t>
  </si>
  <si>
    <t>Védőnői szolgálat</t>
  </si>
  <si>
    <t>Szociális támogatások</t>
  </si>
  <si>
    <t>Közfoglalkoztatás támogatása</t>
  </si>
  <si>
    <t xml:space="preserve">Kistérség működtette lakossági szolgáltatásokra átadandó (Segítő szolgálat, orvosi ügyelet)  </t>
  </si>
  <si>
    <t>Bevételek a lakosság által igénybevett szolgáltatások ellentételezésére</t>
  </si>
  <si>
    <t>Összesen:</t>
  </si>
  <si>
    <t>MINDÖSSZESEN:</t>
  </si>
  <si>
    <t>Index % előző évhez</t>
  </si>
  <si>
    <t>POLGÁROK ÁLTAL KÖZVETLENÜL IGÉNYBE VETT SZOLGÁLTATÁSOK</t>
  </si>
  <si>
    <t xml:space="preserve">Polgármesteri Hivatal és városháza épülete </t>
  </si>
  <si>
    <t>Mezőőri tevékenység</t>
  </si>
  <si>
    <t xml:space="preserve">Brunszvik-Beethoven Kulturális Központ </t>
  </si>
  <si>
    <t>Egyéb feladatok</t>
  </si>
  <si>
    <t>Csatorna áfa befizetés</t>
  </si>
  <si>
    <t>Önkor-mányzat és szervei</t>
  </si>
  <si>
    <t>VÁROSIGAZGATÁS ÉS KÖZÖSSÉGSZERVEZÉS</t>
  </si>
  <si>
    <t>Állami támogatás</t>
  </si>
  <si>
    <t>Önkormányzat, szervei, partnerek</t>
  </si>
  <si>
    <t>Hiteltörlesztés (Áfa kölcsön, egyéb hitel)</t>
  </si>
  <si>
    <t>Kommunikációs feladatok (újság, kiadvány, eszköz)</t>
  </si>
  <si>
    <t>Óvodamúzeum és Könyvtár (ÓM)</t>
  </si>
  <si>
    <t>Önkormányzat (pályázatok, szerződések, tervezések, igazgatási díjak, városvezetés, bérleti díjak, reprezentáció)</t>
  </si>
  <si>
    <t>Kultúra, rendezvények, civilek, nemzetközi kapcsolatok</t>
  </si>
  <si>
    <t>Civil szervezetek támogatása (sport nélkül)</t>
  </si>
  <si>
    <t>Sportegyesületek támogatása</t>
  </si>
  <si>
    <t>Sportélet támogatása és létesítményfenntartás</t>
  </si>
  <si>
    <t>Sportiroda,spotreferensi feladatok (MS)</t>
  </si>
  <si>
    <t>Utánpótlás-nevelés közvetlen támogatása (MS)</t>
  </si>
  <si>
    <t>SportegyesületekTAO pályázatainak önrész-támogatása</t>
  </si>
  <si>
    <t>Városigazgatási feladatok, Városháza</t>
  </si>
  <si>
    <t>További támogatások</t>
  </si>
  <si>
    <t>Iskolaudvar, Járás, Malom és MG telephely fenntartása</t>
  </si>
  <si>
    <t>KIADÁS</t>
  </si>
  <si>
    <t>Index %</t>
  </si>
  <si>
    <t>BEVÉTEL</t>
  </si>
  <si>
    <t>Fejlesztések-re, következő évi tartalékba</t>
  </si>
  <si>
    <t>Martongazda (fejlesztésre átadott)</t>
  </si>
  <si>
    <t>Saját (tartalék, kölcsön)</t>
  </si>
  <si>
    <t>Céltartalék (viziközmű fejlesztésre)</t>
  </si>
  <si>
    <t>Kisajátítási céltartlék</t>
  </si>
  <si>
    <t>Fejlesztési célú ct.</t>
  </si>
  <si>
    <t>Működési bevétel többlet áthozat</t>
  </si>
  <si>
    <t>FŐÖSSZEG</t>
  </si>
  <si>
    <t>Kiadás összesen</t>
  </si>
  <si>
    <t>Bevétel összesen</t>
  </si>
  <si>
    <t>Költségvetési transzferek a TKT részére</t>
  </si>
  <si>
    <t>Működési költésgvetési egyenleg</t>
  </si>
  <si>
    <t>Működési költségvetési egyenleg átvitele felhalmozási tartalékba</t>
  </si>
  <si>
    <t>Kormányzati támogatás</t>
  </si>
  <si>
    <t xml:space="preserve">Fejlesztések </t>
  </si>
  <si>
    <r>
      <t xml:space="preserve">Marton-gazda </t>
    </r>
    <r>
      <rPr>
        <sz val="11"/>
        <color indexed="8"/>
        <rFont val="Times New Roman"/>
        <family val="1"/>
        <charset val="238"/>
      </rPr>
      <t>(működtetésre átadott)</t>
    </r>
  </si>
  <si>
    <r>
      <t xml:space="preserve">Saját </t>
    </r>
    <r>
      <rPr>
        <sz val="11"/>
        <color indexed="8"/>
        <rFont val="Times New Roman"/>
        <family val="1"/>
        <charset val="238"/>
      </rPr>
      <t>(adó, egyéb, tartalék)</t>
    </r>
  </si>
  <si>
    <t>Nemzetközi kapcsolatok, egyéb rendezvények</t>
  </si>
  <si>
    <t>Pótlékok, bírságok</t>
  </si>
  <si>
    <t>Helyi Iparűzési Adó</t>
  </si>
  <si>
    <t>Telekadó</t>
  </si>
  <si>
    <t xml:space="preserve">Építményadó </t>
  </si>
  <si>
    <t>Egyéb bevételek, igazgatási szolgáltatási díj, kamatbevétel, pénzeszköz átvétel, támogatásértékű bevétel, földterület SZJA, stb.</t>
  </si>
  <si>
    <t>Kommunális adó</t>
  </si>
  <si>
    <t xml:space="preserve">Gépjárműadó </t>
  </si>
  <si>
    <t>Talajterhelési díj</t>
  </si>
  <si>
    <t>Pályázati fejlesztése</t>
  </si>
  <si>
    <t>Piactér, vásártér</t>
  </si>
  <si>
    <t>Működési tartalék, Általános tartalék</t>
  </si>
  <si>
    <t>Városgazdálkodás (városüzemletetési iroda, menedzsment, FB..stb.)</t>
  </si>
  <si>
    <t>Sportcsarnok fenntartása</t>
  </si>
  <si>
    <t>Sportközpont</t>
  </si>
  <si>
    <t>Gyermek- és szociális étkeztetés (Iskolák)</t>
  </si>
  <si>
    <t>Martongazda Kft (4 fő)</t>
  </si>
  <si>
    <t>Létesítmény üzemeltetés (játszóterek, egyéb épületek)</t>
  </si>
  <si>
    <t>Fejlesztések (200 M Ft áthúzódó maradványa)</t>
  </si>
  <si>
    <t>Önkormányzati tartalék</t>
  </si>
  <si>
    <t>2018. eredeti előirányzat</t>
  </si>
  <si>
    <t>2019. évi Kiadás összesen</t>
  </si>
  <si>
    <t>2019. évi Bevétel összesen</t>
  </si>
  <si>
    <t>2018. évi eredeti előirányzat</t>
  </si>
  <si>
    <t>2018. évi eredeti ei.</t>
  </si>
  <si>
    <t xml:space="preserve">2018. évi eredeti ei </t>
  </si>
  <si>
    <t>Költségvetési maradvány (értékpapír)</t>
  </si>
  <si>
    <t>Egyenleg:-17.214 E Ft</t>
  </si>
  <si>
    <t>Egyenleg: + 17 214 E Ft</t>
  </si>
  <si>
    <t>Módosított ei.III.</t>
  </si>
  <si>
    <t>A városigazgatási és közösségszervezés</t>
  </si>
  <si>
    <t>Polgárőrség közbiztonsági feladatainak (pályázat), a Gárdonyi Rendőrkapitányság, a Martonvásári Mentőállomás és a Martonvásári Önkéntes Tűzoltók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</si>
</sst>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7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3" applyFont="1" applyAlignment="1">
      <alignment horizontal="center" vertical="center"/>
    </xf>
    <xf numFmtId="0" fontId="3" fillId="0" borderId="0" xfId="3" applyFont="1"/>
    <xf numFmtId="0" fontId="2" fillId="0" borderId="0" xfId="3" applyFont="1"/>
    <xf numFmtId="0" fontId="2" fillId="0" borderId="0" xfId="3" applyFont="1" applyBorder="1" applyAlignment="1">
      <alignment horizontal="right" vertical="top" wrapText="1"/>
    </xf>
    <xf numFmtId="164" fontId="1" fillId="0" borderId="0" xfId="3" applyNumberFormat="1" applyFont="1" applyBorder="1" applyAlignment="1">
      <alignment horizontal="center" vertical="center" wrapText="1"/>
    </xf>
    <xf numFmtId="164" fontId="1" fillId="0" borderId="0" xfId="3" applyNumberFormat="1" applyFont="1" applyBorder="1" applyAlignment="1">
      <alignment vertical="center" wrapText="1"/>
    </xf>
    <xf numFmtId="0" fontId="5" fillId="0" borderId="0" xfId="3" applyFont="1"/>
    <xf numFmtId="0" fontId="1" fillId="0" borderId="0" xfId="3" applyFont="1" applyBorder="1" applyAlignment="1">
      <alignment horizontal="center" vertical="center"/>
    </xf>
    <xf numFmtId="0" fontId="1" fillId="0" borderId="0" xfId="3" applyFont="1"/>
    <xf numFmtId="165" fontId="3" fillId="0" borderId="0" xfId="3" applyNumberFormat="1" applyFont="1"/>
    <xf numFmtId="9" fontId="5" fillId="0" borderId="0" xfId="6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9" fontId="5" fillId="0" borderId="13" xfId="6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3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3" fillId="0" borderId="0" xfId="6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9" fontId="1" fillId="5" borderId="2" xfId="6" applyFont="1" applyFill="1" applyBorder="1" applyAlignment="1">
      <alignment horizontal="center" vertical="center" wrapText="1"/>
    </xf>
    <xf numFmtId="9" fontId="3" fillId="4" borderId="15" xfId="6" applyFont="1" applyFill="1" applyBorder="1" applyAlignment="1">
      <alignment horizontal="center" vertical="center"/>
    </xf>
    <xf numFmtId="165" fontId="2" fillId="4" borderId="16" xfId="2" applyNumberFormat="1" applyFont="1" applyFill="1" applyBorder="1" applyAlignment="1">
      <alignment horizontal="center" vertical="center"/>
    </xf>
    <xf numFmtId="9" fontId="3" fillId="4" borderId="17" xfId="6" applyFont="1" applyFill="1" applyBorder="1" applyAlignment="1">
      <alignment horizontal="center" vertical="center"/>
    </xf>
    <xf numFmtId="165" fontId="2" fillId="4" borderId="18" xfId="2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righ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9" fontId="2" fillId="4" borderId="2" xfId="5" applyFont="1" applyFill="1" applyBorder="1" applyAlignment="1">
      <alignment horizontal="right" vertical="center" wrapText="1"/>
    </xf>
    <xf numFmtId="164" fontId="2" fillId="4" borderId="3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/>
    <xf numFmtId="165" fontId="3" fillId="0" borderId="3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165" fontId="3" fillId="0" borderId="0" xfId="0" applyNumberFormat="1" applyFont="1" applyFill="1" applyBorder="1"/>
    <xf numFmtId="0" fontId="16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9" fontId="19" fillId="4" borderId="2" xfId="5" applyFont="1" applyFill="1" applyBorder="1" applyAlignment="1">
      <alignment horizontal="right" vertical="center" wrapText="1"/>
    </xf>
    <xf numFmtId="0" fontId="19" fillId="0" borderId="0" xfId="0" applyFont="1"/>
    <xf numFmtId="9" fontId="2" fillId="0" borderId="2" xfId="5" applyFont="1" applyFill="1" applyBorder="1" applyAlignment="1">
      <alignment horizontal="right" vertical="center" wrapText="1"/>
    </xf>
    <xf numFmtId="165" fontId="16" fillId="0" borderId="3" xfId="1" applyNumberFormat="1" applyFont="1" applyFill="1" applyBorder="1" applyAlignment="1">
      <alignment horizontal="right" vertical="center" wrapText="1"/>
    </xf>
    <xf numFmtId="9" fontId="19" fillId="0" borderId="2" xfId="5" applyFont="1" applyFill="1" applyBorder="1" applyAlignment="1">
      <alignment horizontal="right" vertical="center" wrapText="1"/>
    </xf>
    <xf numFmtId="0" fontId="16" fillId="0" borderId="0" xfId="0" applyFont="1"/>
    <xf numFmtId="165" fontId="2" fillId="4" borderId="3" xfId="1" applyNumberFormat="1" applyFont="1" applyFill="1" applyBorder="1" applyAlignment="1">
      <alignment horizontal="right" vertical="center" wrapText="1"/>
    </xf>
    <xf numFmtId="0" fontId="2" fillId="0" borderId="0" xfId="0" applyFont="1"/>
    <xf numFmtId="165" fontId="19" fillId="4" borderId="6" xfId="1" applyNumberFormat="1" applyFont="1" applyFill="1" applyBorder="1" applyAlignment="1">
      <alignment horizontal="right" vertical="center" wrapText="1"/>
    </xf>
    <xf numFmtId="165" fontId="16" fillId="2" borderId="1" xfId="1" applyNumberFormat="1" applyFont="1" applyFill="1" applyBorder="1" applyAlignment="1">
      <alignment horizontal="right" vertical="center" wrapText="1"/>
    </xf>
    <xf numFmtId="3" fontId="16" fillId="0" borderId="0" xfId="0" applyNumberFormat="1" applyFont="1"/>
    <xf numFmtId="165" fontId="19" fillId="4" borderId="5" xfId="1" applyNumberFormat="1" applyFont="1" applyFill="1" applyBorder="1" applyAlignment="1">
      <alignment horizontal="right" vertical="center" wrapText="1"/>
    </xf>
    <xf numFmtId="165" fontId="19" fillId="4" borderId="3" xfId="1" applyNumberFormat="1" applyFont="1" applyFill="1" applyBorder="1" applyAlignment="1">
      <alignment horizontal="right" vertical="center" wrapText="1"/>
    </xf>
    <xf numFmtId="165" fontId="19" fillId="0" borderId="0" xfId="1" applyNumberFormat="1" applyFont="1"/>
    <xf numFmtId="0" fontId="16" fillId="0" borderId="0" xfId="0" applyFont="1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6" fillId="0" borderId="1" xfId="0" applyFont="1" applyBorder="1"/>
    <xf numFmtId="0" fontId="2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9" fontId="19" fillId="4" borderId="3" xfId="5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9" fontId="1" fillId="0" borderId="2" xfId="6" applyFont="1" applyFill="1" applyBorder="1" applyAlignment="1">
      <alignment horizontal="center" vertical="center" wrapText="1"/>
    </xf>
    <xf numFmtId="9" fontId="2" fillId="5" borderId="2" xfId="6" applyFont="1" applyFill="1" applyBorder="1" applyAlignment="1">
      <alignment horizontal="center" vertical="center" wrapText="1"/>
    </xf>
    <xf numFmtId="164" fontId="2" fillId="0" borderId="0" xfId="3" applyNumberFormat="1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right"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165" fontId="19" fillId="4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9" fillId="3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9" fillId="3" borderId="9" xfId="1" applyNumberFormat="1" applyFont="1" applyFill="1" applyBorder="1" applyAlignment="1">
      <alignment horizontal="right" vertical="center" wrapText="1"/>
    </xf>
    <xf numFmtId="165" fontId="19" fillId="4" borderId="7" xfId="1" applyNumberFormat="1" applyFont="1" applyFill="1" applyBorder="1" applyAlignment="1">
      <alignment horizontal="right" vertical="center" wrapText="1"/>
    </xf>
    <xf numFmtId="165" fontId="16" fillId="4" borderId="1" xfId="1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" fillId="5" borderId="1" xfId="1" applyNumberFormat="1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right" vertical="top" wrapText="1"/>
    </xf>
    <xf numFmtId="0" fontId="3" fillId="0" borderId="4" xfId="3" applyFont="1" applyBorder="1" applyAlignment="1">
      <alignment vertical="top" wrapText="1"/>
    </xf>
    <xf numFmtId="0" fontId="6" fillId="0" borderId="4" xfId="4" applyFont="1" applyFill="1" applyBorder="1" applyAlignment="1">
      <alignment horizontal="left" vertical="center" wrapText="1"/>
    </xf>
    <xf numFmtId="0" fontId="2" fillId="5" borderId="4" xfId="3" applyFont="1" applyFill="1" applyBorder="1" applyAlignment="1">
      <alignment horizontal="left" vertical="top" wrapText="1"/>
    </xf>
    <xf numFmtId="0" fontId="3" fillId="0" borderId="28" xfId="3" applyFont="1" applyBorder="1" applyAlignment="1">
      <alignment vertical="top" wrapText="1"/>
    </xf>
    <xf numFmtId="165" fontId="1" fillId="0" borderId="9" xfId="1" applyNumberFormat="1" applyFont="1" applyBorder="1" applyAlignment="1">
      <alignment horizontal="center" vertical="center" wrapText="1"/>
    </xf>
    <xf numFmtId="165" fontId="1" fillId="0" borderId="9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2" fillId="0" borderId="42" xfId="3" applyFont="1" applyBorder="1" applyAlignment="1">
      <alignment horizontal="center" vertical="center" wrapText="1"/>
    </xf>
    <xf numFmtId="0" fontId="4" fillId="4" borderId="37" xfId="3" applyFont="1" applyFill="1" applyBorder="1" applyAlignment="1">
      <alignment horizontal="center" vertical="center" wrapText="1"/>
    </xf>
    <xf numFmtId="9" fontId="2" fillId="0" borderId="42" xfId="5" applyFont="1" applyBorder="1" applyAlignment="1">
      <alignment horizontal="center" vertical="center" wrapText="1"/>
    </xf>
    <xf numFmtId="165" fontId="2" fillId="0" borderId="28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1" fillId="5" borderId="4" xfId="1" applyNumberFormat="1" applyFont="1" applyFill="1" applyBorder="1" applyAlignment="1">
      <alignment vertical="center" wrapText="1"/>
    </xf>
    <xf numFmtId="0" fontId="8" fillId="0" borderId="27" xfId="4" applyFont="1" applyFill="1" applyBorder="1" applyAlignment="1">
      <alignment horizontal="left" vertical="center" wrapText="1"/>
    </xf>
    <xf numFmtId="165" fontId="9" fillId="0" borderId="7" xfId="1" applyNumberFormat="1" applyFont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9" fontId="11" fillId="0" borderId="41" xfId="6" applyFont="1" applyFill="1" applyBorder="1" applyAlignment="1">
      <alignment horizontal="center" vertical="center" wrapText="1"/>
    </xf>
    <xf numFmtId="165" fontId="9" fillId="0" borderId="27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9" fontId="5" fillId="0" borderId="41" xfId="6" applyFont="1" applyFill="1" applyBorder="1" applyAlignment="1">
      <alignment horizontal="center" vertical="center" wrapText="1"/>
    </xf>
    <xf numFmtId="0" fontId="2" fillId="5" borderId="11" xfId="3" applyFont="1" applyFill="1" applyBorder="1" applyAlignment="1">
      <alignment horizontal="left" vertical="top" wrapText="1"/>
    </xf>
    <xf numFmtId="0" fontId="21" fillId="0" borderId="0" xfId="0" applyFont="1"/>
    <xf numFmtId="0" fontId="19" fillId="0" borderId="0" xfId="0" applyFont="1" applyBorder="1"/>
    <xf numFmtId="165" fontId="22" fillId="0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3" fillId="6" borderId="1" xfId="1" applyNumberFormat="1" applyFont="1" applyFill="1" applyBorder="1" applyAlignment="1">
      <alignment horizontal="right" vertical="center" wrapText="1"/>
    </xf>
    <xf numFmtId="9" fontId="2" fillId="4" borderId="1" xfId="5" applyFont="1" applyFill="1" applyBorder="1" applyAlignment="1">
      <alignment horizontal="right" vertical="center" wrapText="1"/>
    </xf>
    <xf numFmtId="165" fontId="16" fillId="0" borderId="7" xfId="1" applyNumberFormat="1" applyFont="1" applyFill="1" applyBorder="1" applyAlignment="1">
      <alignment horizontal="center" vertical="center" wrapText="1"/>
    </xf>
    <xf numFmtId="165" fontId="16" fillId="0" borderId="9" xfId="1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5" fontId="2" fillId="4" borderId="30" xfId="2" applyNumberFormat="1" applyFont="1" applyFill="1" applyBorder="1" applyAlignment="1">
      <alignment horizontal="center" vertical="center"/>
    </xf>
    <xf numFmtId="165" fontId="2" fillId="0" borderId="46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1" fillId="5" borderId="3" xfId="1" applyNumberFormat="1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horizontal="center" vertical="center" wrapText="1"/>
    </xf>
    <xf numFmtId="3" fontId="5" fillId="4" borderId="12" xfId="2" applyNumberFormat="1" applyFont="1" applyFill="1" applyBorder="1" applyAlignment="1">
      <alignment horizontal="center" vertical="center" wrapText="1"/>
    </xf>
    <xf numFmtId="3" fontId="5" fillId="4" borderId="14" xfId="2" applyNumberFormat="1" applyFont="1" applyFill="1" applyBorder="1" applyAlignment="1">
      <alignment horizontal="center" vertical="center" wrapText="1"/>
    </xf>
    <xf numFmtId="165" fontId="19" fillId="0" borderId="0" xfId="0" applyNumberFormat="1" applyFont="1"/>
    <xf numFmtId="165" fontId="2" fillId="0" borderId="0" xfId="0" applyNumberFormat="1" applyFont="1"/>
    <xf numFmtId="165" fontId="16" fillId="0" borderId="0" xfId="0" applyNumberFormat="1" applyFont="1"/>
    <xf numFmtId="0" fontId="21" fillId="4" borderId="1" xfId="0" applyFont="1" applyFill="1" applyBorder="1" applyAlignment="1">
      <alignment horizontal="right" vertical="top" wrapText="1"/>
    </xf>
    <xf numFmtId="0" fontId="21" fillId="4" borderId="0" xfId="0" applyFont="1" applyFill="1" applyBorder="1" applyAlignment="1">
      <alignment vertical="center"/>
    </xf>
    <xf numFmtId="0" fontId="16" fillId="4" borderId="0" xfId="0" applyFont="1" applyFill="1" applyAlignment="1">
      <alignment horizontal="center"/>
    </xf>
    <xf numFmtId="0" fontId="19" fillId="4" borderId="0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9" fontId="5" fillId="4" borderId="0" xfId="5" applyFont="1" applyFill="1" applyBorder="1" applyAlignment="1">
      <alignment horizontal="center" vertical="center" wrapText="1"/>
    </xf>
    <xf numFmtId="3" fontId="16" fillId="4" borderId="0" xfId="0" applyNumberFormat="1" applyFont="1" applyFill="1" applyAlignment="1">
      <alignment vertical="center"/>
    </xf>
    <xf numFmtId="3" fontId="16" fillId="4" borderId="0" xfId="0" applyNumberFormat="1" applyFont="1" applyFill="1" applyAlignment="1">
      <alignment horizontal="center" vertical="center"/>
    </xf>
    <xf numFmtId="9" fontId="17" fillId="4" borderId="0" xfId="5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right" vertical="center" wrapText="1"/>
    </xf>
    <xf numFmtId="165" fontId="3" fillId="2" borderId="26" xfId="1" applyNumberFormat="1" applyFont="1" applyFill="1" applyBorder="1" applyAlignment="1">
      <alignment horizontal="right" vertical="center" wrapText="1"/>
    </xf>
    <xf numFmtId="165" fontId="3" fillId="2" borderId="9" xfId="1" applyNumberFormat="1" applyFont="1" applyFill="1" applyBorder="1" applyAlignment="1">
      <alignment horizontal="right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65" fontId="2" fillId="5" borderId="31" xfId="2" applyNumberFormat="1" applyFont="1" applyFill="1" applyBorder="1" applyAlignment="1">
      <alignment horizontal="center" vertical="center"/>
    </xf>
    <xf numFmtId="165" fontId="2" fillId="5" borderId="32" xfId="2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165" fontId="1" fillId="5" borderId="35" xfId="0" applyNumberFormat="1" applyFont="1" applyFill="1" applyBorder="1" applyAlignment="1">
      <alignment horizontal="center" vertical="center"/>
    </xf>
    <xf numFmtId="165" fontId="1" fillId="5" borderId="36" xfId="0" applyNumberFormat="1" applyFont="1" applyFill="1" applyBorder="1" applyAlignment="1">
      <alignment horizontal="center" vertical="center"/>
    </xf>
    <xf numFmtId="164" fontId="1" fillId="5" borderId="35" xfId="0" applyNumberFormat="1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165" fontId="16" fillId="0" borderId="1" xfId="1" applyNumberFormat="1" applyFont="1" applyFill="1" applyBorder="1" applyAlignment="1">
      <alignment horizontal="right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9" fillId="3" borderId="7" xfId="1" applyNumberFormat="1" applyFont="1" applyFill="1" applyBorder="1" applyAlignment="1">
      <alignment horizontal="right" vertical="center" wrapText="1"/>
    </xf>
    <xf numFmtId="165" fontId="19" fillId="3" borderId="9" xfId="1" applyNumberFormat="1" applyFont="1" applyFill="1" applyBorder="1" applyAlignment="1">
      <alignment horizontal="right" vertical="center" wrapText="1"/>
    </xf>
    <xf numFmtId="165" fontId="1" fillId="0" borderId="37" xfId="3" applyNumberFormat="1" applyFont="1" applyBorder="1" applyAlignment="1">
      <alignment horizontal="center" vertical="center"/>
    </xf>
    <xf numFmtId="165" fontId="1" fillId="0" borderId="38" xfId="3" applyNumberFormat="1" applyFont="1" applyBorder="1" applyAlignment="1">
      <alignment horizontal="center" vertical="center"/>
    </xf>
    <xf numFmtId="0" fontId="2" fillId="4" borderId="33" xfId="3" applyFont="1" applyFill="1" applyBorder="1" applyAlignment="1">
      <alignment horizontal="center" vertical="center" wrapText="1"/>
    </xf>
    <xf numFmtId="0" fontId="2" fillId="4" borderId="37" xfId="3" applyFont="1" applyFill="1" applyBorder="1" applyAlignment="1">
      <alignment horizontal="center" vertical="center" wrapText="1"/>
    </xf>
    <xf numFmtId="0" fontId="2" fillId="5" borderId="33" xfId="3" applyFont="1" applyFill="1" applyBorder="1" applyAlignment="1">
      <alignment horizontal="center" vertical="center" wrapText="1"/>
    </xf>
    <xf numFmtId="0" fontId="2" fillId="4" borderId="34" xfId="3" applyFont="1" applyFill="1" applyBorder="1" applyAlignment="1">
      <alignment horizontal="center" vertical="center" wrapText="1"/>
    </xf>
    <xf numFmtId="0" fontId="2" fillId="4" borderId="38" xfId="3" applyFont="1" applyFill="1" applyBorder="1" applyAlignment="1">
      <alignment horizontal="center" vertical="center" wrapText="1"/>
    </xf>
    <xf numFmtId="165" fontId="1" fillId="0" borderId="39" xfId="2" applyNumberFormat="1" applyFont="1" applyBorder="1" applyAlignment="1">
      <alignment horizontal="center" vertical="center"/>
    </xf>
    <xf numFmtId="165" fontId="1" fillId="0" borderId="40" xfId="2" applyNumberFormat="1" applyFont="1" applyBorder="1" applyAlignment="1">
      <alignment horizontal="center" vertical="center"/>
    </xf>
    <xf numFmtId="0" fontId="1" fillId="0" borderId="33" xfId="3" applyFont="1" applyBorder="1" applyAlignment="1">
      <alignment horizontal="center" vertical="center"/>
    </xf>
    <xf numFmtId="0" fontId="1" fillId="0" borderId="34" xfId="3" applyFont="1" applyBorder="1" applyAlignment="1">
      <alignment horizontal="center" vertical="center"/>
    </xf>
    <xf numFmtId="0" fontId="1" fillId="0" borderId="37" xfId="3" applyFont="1" applyBorder="1" applyAlignment="1">
      <alignment horizontal="center" vertical="center"/>
    </xf>
    <xf numFmtId="0" fontId="1" fillId="0" borderId="38" xfId="3" applyFont="1" applyBorder="1" applyAlignment="1">
      <alignment horizontal="center" vertical="center"/>
    </xf>
    <xf numFmtId="0" fontId="1" fillId="0" borderId="39" xfId="3" applyFont="1" applyBorder="1" applyAlignment="1">
      <alignment horizontal="center" vertical="center"/>
    </xf>
    <xf numFmtId="165" fontId="1" fillId="0" borderId="40" xfId="3" applyNumberFormat="1" applyFont="1" applyBorder="1" applyAlignment="1">
      <alignment horizontal="center" vertical="center"/>
    </xf>
    <xf numFmtId="0" fontId="2" fillId="4" borderId="39" xfId="3" applyFont="1" applyFill="1" applyBorder="1" applyAlignment="1">
      <alignment horizontal="center" vertical="center" wrapText="1"/>
    </xf>
    <xf numFmtId="0" fontId="2" fillId="4" borderId="40" xfId="3" applyFont="1" applyFill="1" applyBorder="1" applyAlignment="1">
      <alignment horizontal="center" vertical="center" wrapText="1"/>
    </xf>
    <xf numFmtId="164" fontId="1" fillId="5" borderId="44" xfId="1" applyNumberFormat="1" applyFont="1" applyFill="1" applyBorder="1" applyAlignment="1">
      <alignment horizontal="center" vertical="center"/>
    </xf>
    <xf numFmtId="164" fontId="1" fillId="5" borderId="43" xfId="1" applyNumberFormat="1" applyFont="1" applyFill="1" applyBorder="1" applyAlignment="1">
      <alignment horizontal="center" vertical="center"/>
    </xf>
    <xf numFmtId="164" fontId="1" fillId="5" borderId="45" xfId="1" applyNumberFormat="1" applyFont="1" applyFill="1" applyBorder="1" applyAlignment="1">
      <alignment horizontal="center" vertical="center"/>
    </xf>
    <xf numFmtId="164" fontId="1" fillId="5" borderId="10" xfId="1" applyNumberFormat="1" applyFont="1" applyFill="1" applyBorder="1" applyAlignment="1">
      <alignment horizontal="center" vertical="center"/>
    </xf>
    <xf numFmtId="0" fontId="1" fillId="4" borderId="31" xfId="3" applyFont="1" applyFill="1" applyBorder="1" applyAlignment="1">
      <alignment horizontal="center" vertical="center" wrapText="1"/>
    </xf>
    <xf numFmtId="0" fontId="1" fillId="4" borderId="32" xfId="3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" fillId="4" borderId="33" xfId="3" applyFont="1" applyFill="1" applyBorder="1" applyAlignment="1">
      <alignment horizontal="center" vertical="center" wrapText="1"/>
    </xf>
    <xf numFmtId="0" fontId="1" fillId="4" borderId="37" xfId="3" applyFont="1" applyFill="1" applyBorder="1" applyAlignment="1">
      <alignment horizontal="center" vertical="center" wrapText="1"/>
    </xf>
  </cellXfs>
  <cellStyles count="7">
    <cellStyle name="Ezres" xfId="1" builtinId="3"/>
    <cellStyle name="Ezres 2" xfId="2"/>
    <cellStyle name="Normál" xfId="0" builtinId="0"/>
    <cellStyle name="Normál 2" xfId="3"/>
    <cellStyle name="Normál 2 2" xfId="4"/>
    <cellStyle name="Százalék" xfId="5" builtinId="5"/>
    <cellStyle name="Százalék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37"/>
  <sheetViews>
    <sheetView topLeftCell="A19" workbookViewId="0">
      <selection activeCell="A34" sqref="A34"/>
    </sheetView>
  </sheetViews>
  <sheetFormatPr defaultColWidth="9.140625" defaultRowHeight="15" x14ac:dyDescent="0.25"/>
  <cols>
    <col min="1" max="1" width="44.85546875" style="39" customWidth="1"/>
    <col min="2" max="3" width="11.5703125" style="39" customWidth="1"/>
    <col min="4" max="4" width="11.5703125" style="46" customWidth="1"/>
    <col min="5" max="5" width="11.140625" style="39" customWidth="1"/>
    <col min="6" max="6" width="11.42578125" style="39" customWidth="1"/>
    <col min="7" max="7" width="9.28515625" style="39" customWidth="1"/>
    <col min="8" max="9" width="13" style="39" customWidth="1"/>
    <col min="10" max="10" width="12.140625" style="39" customWidth="1"/>
    <col min="11" max="11" width="14" style="48" customWidth="1"/>
    <col min="12" max="12" width="12" style="39" customWidth="1"/>
    <col min="13" max="13" width="10.140625" style="39" customWidth="1"/>
    <col min="14" max="14" width="9.7109375" style="39" customWidth="1"/>
    <col min="15" max="16384" width="9.140625" style="39"/>
  </cols>
  <sheetData>
    <row r="1" spans="1:14" ht="21.75" customHeight="1" x14ac:dyDescent="0.25">
      <c r="A1" s="165" t="s">
        <v>22</v>
      </c>
      <c r="B1" s="167" t="s">
        <v>46</v>
      </c>
      <c r="C1" s="167"/>
      <c r="D1" s="167"/>
      <c r="E1" s="167"/>
      <c r="F1" s="167"/>
      <c r="G1" s="168"/>
      <c r="H1" s="169" t="s">
        <v>48</v>
      </c>
      <c r="I1" s="169"/>
      <c r="J1" s="169"/>
      <c r="K1" s="169"/>
      <c r="L1" s="169"/>
      <c r="M1" s="169"/>
      <c r="N1" s="170"/>
    </row>
    <row r="2" spans="1:14" ht="58.5" x14ac:dyDescent="0.25">
      <c r="A2" s="166"/>
      <c r="B2" s="40" t="s">
        <v>89</v>
      </c>
      <c r="C2" s="40" t="s">
        <v>95</v>
      </c>
      <c r="D2" s="40" t="s">
        <v>87</v>
      </c>
      <c r="E2" s="40" t="s">
        <v>28</v>
      </c>
      <c r="F2" s="40" t="s">
        <v>64</v>
      </c>
      <c r="G2" s="41" t="s">
        <v>21</v>
      </c>
      <c r="H2" s="40" t="s">
        <v>89</v>
      </c>
      <c r="I2" s="40" t="s">
        <v>95</v>
      </c>
      <c r="J2" s="40" t="s">
        <v>88</v>
      </c>
      <c r="K2" s="42" t="s">
        <v>30</v>
      </c>
      <c r="L2" s="40" t="s">
        <v>65</v>
      </c>
      <c r="M2" s="40" t="s">
        <v>0</v>
      </c>
      <c r="N2" s="41" t="s">
        <v>21</v>
      </c>
    </row>
    <row r="3" spans="1:14" s="46" customFormat="1" ht="14.25" x14ac:dyDescent="0.2">
      <c r="A3" s="79" t="s">
        <v>1</v>
      </c>
      <c r="B3" s="94">
        <f>SUM(B4:B12)</f>
        <v>89100</v>
      </c>
      <c r="C3" s="94">
        <f>SUM(C4:C12)</f>
        <v>88509</v>
      </c>
      <c r="D3" s="94">
        <f>+E3+F3</f>
        <v>94788</v>
      </c>
      <c r="E3" s="94"/>
      <c r="F3" s="94">
        <f>SUM(F4:F12)</f>
        <v>94788</v>
      </c>
      <c r="G3" s="44">
        <f>+D3/B3</f>
        <v>1.0638383838383838</v>
      </c>
      <c r="H3" s="45">
        <f>SUM(H4:H10)</f>
        <v>34286</v>
      </c>
      <c r="I3" s="45">
        <f>SUM(I4:I12)</f>
        <v>34286</v>
      </c>
      <c r="J3" s="43">
        <f t="shared" ref="J3:J28" si="0">+K3+L3+M3</f>
        <v>25369</v>
      </c>
      <c r="K3" s="43">
        <f>SUM(K4:K10)</f>
        <v>25369</v>
      </c>
      <c r="L3" s="43">
        <f>SUM(L4:L10)</f>
        <v>0</v>
      </c>
      <c r="M3" s="43">
        <f>SUM(M4:M10)</f>
        <v>0</v>
      </c>
      <c r="N3" s="44">
        <f>+J3/H3</f>
        <v>0.73992300064166128</v>
      </c>
    </row>
    <row r="4" spans="1:14" ht="30" x14ac:dyDescent="0.25">
      <c r="A4" s="80" t="s">
        <v>2</v>
      </c>
      <c r="B4" s="81">
        <v>12967</v>
      </c>
      <c r="C4" s="81">
        <v>10800</v>
      </c>
      <c r="D4" s="95">
        <f t="shared" ref="D4:D24" si="1">+E4+F4</f>
        <v>9557</v>
      </c>
      <c r="E4" s="96"/>
      <c r="F4" s="81">
        <v>9557</v>
      </c>
      <c r="G4" s="44">
        <f t="shared" ref="G4:G29" si="2">+D4/B4</f>
        <v>0.73702475514768262</v>
      </c>
      <c r="H4" s="81">
        <v>0</v>
      </c>
      <c r="I4" s="81">
        <v>0</v>
      </c>
      <c r="J4" s="95">
        <f t="shared" si="0"/>
        <v>0</v>
      </c>
      <c r="K4" s="81"/>
      <c r="L4" s="96"/>
      <c r="M4" s="96"/>
      <c r="N4" s="44"/>
    </row>
    <row r="5" spans="1:14" ht="30" x14ac:dyDescent="0.25">
      <c r="A5" s="80" t="s">
        <v>3</v>
      </c>
      <c r="B5" s="81">
        <v>6623</v>
      </c>
      <c r="C5" s="81">
        <v>6623</v>
      </c>
      <c r="D5" s="95">
        <f t="shared" si="1"/>
        <v>12029</v>
      </c>
      <c r="E5" s="96"/>
      <c r="F5" s="81">
        <v>12029</v>
      </c>
      <c r="G5" s="44">
        <f t="shared" si="2"/>
        <v>1.8162464140117771</v>
      </c>
      <c r="H5" s="81">
        <v>5067</v>
      </c>
      <c r="I5" s="81">
        <v>5067</v>
      </c>
      <c r="J5" s="95">
        <f t="shared" si="0"/>
        <v>5039</v>
      </c>
      <c r="K5" s="81">
        <v>5039</v>
      </c>
      <c r="L5" s="96"/>
      <c r="M5" s="96"/>
      <c r="N5" s="44">
        <f t="shared" ref="N5:N29" si="3">+J5/H5</f>
        <v>0.9944740477600158</v>
      </c>
    </row>
    <row r="6" spans="1:14" x14ac:dyDescent="0.25">
      <c r="A6" s="80" t="s">
        <v>4</v>
      </c>
      <c r="B6" s="81">
        <v>6554</v>
      </c>
      <c r="C6" s="81">
        <v>6554</v>
      </c>
      <c r="D6" s="95">
        <f t="shared" si="1"/>
        <v>4810</v>
      </c>
      <c r="E6" s="96"/>
      <c r="F6" s="81">
        <v>4810</v>
      </c>
      <c r="G6" s="44">
        <f t="shared" si="2"/>
        <v>0.73390296002441258</v>
      </c>
      <c r="H6" s="81">
        <v>1540</v>
      </c>
      <c r="I6" s="81">
        <v>1540</v>
      </c>
      <c r="J6" s="95">
        <f t="shared" si="0"/>
        <v>1540</v>
      </c>
      <c r="K6" s="81">
        <v>1540</v>
      </c>
      <c r="L6" s="96"/>
      <c r="M6" s="96"/>
      <c r="N6" s="44">
        <f t="shared" si="3"/>
        <v>1</v>
      </c>
    </row>
    <row r="7" spans="1:14" x14ac:dyDescent="0.25">
      <c r="A7" s="80" t="s">
        <v>5</v>
      </c>
      <c r="B7" s="81">
        <v>6561</v>
      </c>
      <c r="C7" s="81">
        <v>6561</v>
      </c>
      <c r="D7" s="95">
        <f t="shared" si="1"/>
        <v>7203</v>
      </c>
      <c r="E7" s="96"/>
      <c r="F7" s="81">
        <v>7203</v>
      </c>
      <c r="G7" s="44">
        <f t="shared" si="2"/>
        <v>1.0978509373571101</v>
      </c>
      <c r="H7" s="81"/>
      <c r="I7" s="81">
        <v>0</v>
      </c>
      <c r="J7" s="95">
        <f t="shared" si="0"/>
        <v>0</v>
      </c>
      <c r="K7" s="81"/>
      <c r="L7" s="96"/>
      <c r="M7" s="96"/>
      <c r="N7" s="44"/>
    </row>
    <row r="8" spans="1:14" x14ac:dyDescent="0.25">
      <c r="A8" s="80" t="s">
        <v>6</v>
      </c>
      <c r="B8" s="81">
        <v>14298</v>
      </c>
      <c r="C8" s="81">
        <v>14298</v>
      </c>
      <c r="D8" s="95">
        <f t="shared" si="1"/>
        <v>12094</v>
      </c>
      <c r="E8" s="96"/>
      <c r="F8" s="81">
        <v>12094</v>
      </c>
      <c r="G8" s="44">
        <f t="shared" si="2"/>
        <v>0.84585256679255838</v>
      </c>
      <c r="H8" s="81">
        <v>10880</v>
      </c>
      <c r="I8" s="81">
        <v>10880</v>
      </c>
      <c r="J8" s="95">
        <f t="shared" si="0"/>
        <v>10880</v>
      </c>
      <c r="K8" s="81">
        <v>10880</v>
      </c>
      <c r="L8" s="96"/>
      <c r="M8" s="96"/>
      <c r="N8" s="44">
        <f t="shared" si="3"/>
        <v>1</v>
      </c>
    </row>
    <row r="9" spans="1:14" ht="30" x14ac:dyDescent="0.25">
      <c r="A9" s="80" t="s">
        <v>7</v>
      </c>
      <c r="B9" s="81">
        <v>13128</v>
      </c>
      <c r="C9" s="81">
        <v>13128</v>
      </c>
      <c r="D9" s="95">
        <f t="shared" si="1"/>
        <v>14781</v>
      </c>
      <c r="E9" s="96"/>
      <c r="F9" s="81">
        <v>14781</v>
      </c>
      <c r="G9" s="44">
        <f t="shared" si="2"/>
        <v>1.1259140767824498</v>
      </c>
      <c r="H9" s="81">
        <v>7901</v>
      </c>
      <c r="I9" s="81">
        <v>7901</v>
      </c>
      <c r="J9" s="95">
        <f t="shared" si="0"/>
        <v>7910</v>
      </c>
      <c r="K9" s="81">
        <v>7910</v>
      </c>
      <c r="L9" s="96"/>
      <c r="M9" s="96"/>
      <c r="N9" s="44">
        <f t="shared" si="3"/>
        <v>1.001139096316922</v>
      </c>
    </row>
    <row r="10" spans="1:14" ht="31.5" customHeight="1" x14ac:dyDescent="0.25">
      <c r="A10" s="80" t="s">
        <v>78</v>
      </c>
      <c r="B10" s="81">
        <v>26269</v>
      </c>
      <c r="C10" s="81">
        <v>26269</v>
      </c>
      <c r="D10" s="95">
        <f t="shared" si="1"/>
        <v>26805</v>
      </c>
      <c r="E10" s="96"/>
      <c r="F10" s="81">
        <v>26805</v>
      </c>
      <c r="G10" s="44">
        <f t="shared" si="2"/>
        <v>1.0204042788077201</v>
      </c>
      <c r="H10" s="81">
        <f>898+8000</f>
        <v>8898</v>
      </c>
      <c r="I10" s="81">
        <v>8898</v>
      </c>
      <c r="J10" s="95">
        <f t="shared" si="0"/>
        <v>0</v>
      </c>
      <c r="K10" s="138"/>
      <c r="L10" s="138"/>
      <c r="M10" s="96"/>
      <c r="N10" s="44">
        <f t="shared" si="3"/>
        <v>0</v>
      </c>
    </row>
    <row r="11" spans="1:14" x14ac:dyDescent="0.25">
      <c r="A11" s="80" t="s">
        <v>76</v>
      </c>
      <c r="B11" s="81">
        <v>645</v>
      </c>
      <c r="C11" s="81">
        <v>645</v>
      </c>
      <c r="D11" s="95">
        <f t="shared" si="1"/>
        <v>1550</v>
      </c>
      <c r="E11" s="96"/>
      <c r="F11" s="81">
        <v>1550</v>
      </c>
      <c r="G11" s="44"/>
      <c r="H11" s="81">
        <v>0</v>
      </c>
      <c r="I11" s="81">
        <v>0</v>
      </c>
      <c r="J11" s="95">
        <f t="shared" si="0"/>
        <v>0</v>
      </c>
      <c r="K11" s="81"/>
      <c r="L11" s="96"/>
      <c r="M11" s="96"/>
      <c r="N11" s="44"/>
    </row>
    <row r="12" spans="1:14" ht="30" x14ac:dyDescent="0.25">
      <c r="A12" s="80" t="s">
        <v>45</v>
      </c>
      <c r="B12" s="81">
        <v>2055</v>
      </c>
      <c r="C12" s="81">
        <v>3631</v>
      </c>
      <c r="D12" s="95">
        <f t="shared" si="1"/>
        <v>5959</v>
      </c>
      <c r="E12" s="96"/>
      <c r="F12" s="81">
        <f>3177+2782</f>
        <v>5959</v>
      </c>
      <c r="G12" s="44">
        <f t="shared" si="2"/>
        <v>2.8997566909975667</v>
      </c>
      <c r="H12" s="81">
        <v>0</v>
      </c>
      <c r="I12" s="81">
        <v>0</v>
      </c>
      <c r="J12" s="95">
        <v>0</v>
      </c>
      <c r="K12" s="81"/>
      <c r="L12" s="96"/>
      <c r="M12" s="96"/>
      <c r="N12" s="44"/>
    </row>
    <row r="13" spans="1:14" s="46" customFormat="1" ht="14.25" x14ac:dyDescent="0.2">
      <c r="A13" s="79" t="s">
        <v>8</v>
      </c>
      <c r="B13" s="94">
        <f>SUM(B14:B24)</f>
        <v>337986</v>
      </c>
      <c r="C13" s="94">
        <f>SUM(C14:C24)</f>
        <v>339212</v>
      </c>
      <c r="D13" s="94">
        <f t="shared" si="1"/>
        <v>336083</v>
      </c>
      <c r="E13" s="94">
        <f>SUM(E14:E24)</f>
        <v>300911</v>
      </c>
      <c r="F13" s="94">
        <f>SUM(F14:F24)</f>
        <v>35172</v>
      </c>
      <c r="G13" s="44">
        <f t="shared" si="2"/>
        <v>0.99436958927292851</v>
      </c>
      <c r="H13" s="63">
        <f>SUM(H14:H24)</f>
        <v>310839</v>
      </c>
      <c r="I13" s="63">
        <f>SUM(I14:I24)</f>
        <v>314599</v>
      </c>
      <c r="J13" s="94">
        <f t="shared" si="0"/>
        <v>313288</v>
      </c>
      <c r="K13" s="94">
        <f>SUM(K14:K24)</f>
        <v>268498</v>
      </c>
      <c r="L13" s="94">
        <f>SUM(L14:L24)</f>
        <v>40080</v>
      </c>
      <c r="M13" s="94">
        <f>SUM(M14:M24)</f>
        <v>4710</v>
      </c>
      <c r="N13" s="44">
        <f t="shared" si="3"/>
        <v>1.0078786767426224</v>
      </c>
    </row>
    <row r="14" spans="1:14" x14ac:dyDescent="0.25">
      <c r="A14" s="80" t="s">
        <v>9</v>
      </c>
      <c r="B14" s="81">
        <v>186879</v>
      </c>
      <c r="C14" s="81">
        <v>187841</v>
      </c>
      <c r="D14" s="95">
        <f t="shared" si="1"/>
        <v>188861</v>
      </c>
      <c r="E14" s="81">
        <v>179284</v>
      </c>
      <c r="F14" s="81">
        <v>9577</v>
      </c>
      <c r="G14" s="44">
        <f t="shared" si="2"/>
        <v>1.010605793053259</v>
      </c>
      <c r="H14" s="47">
        <v>175671</v>
      </c>
      <c r="I14" s="47">
        <v>176028</v>
      </c>
      <c r="J14" s="95">
        <f t="shared" si="0"/>
        <v>188861</v>
      </c>
      <c r="K14" s="81">
        <v>182913</v>
      </c>
      <c r="L14" s="81">
        <v>1238</v>
      </c>
      <c r="M14" s="81">
        <v>4710</v>
      </c>
      <c r="N14" s="44">
        <f t="shared" si="3"/>
        <v>1.0750835368387497</v>
      </c>
    </row>
    <row r="15" spans="1:14" x14ac:dyDescent="0.25">
      <c r="A15" s="80" t="s">
        <v>81</v>
      </c>
      <c r="B15" s="81">
        <f>77138+543</f>
        <v>77681</v>
      </c>
      <c r="C15" s="81">
        <v>78011</v>
      </c>
      <c r="D15" s="95">
        <f t="shared" si="1"/>
        <v>67133</v>
      </c>
      <c r="E15" s="81">
        <f>501+49853+16779</f>
        <v>67133</v>
      </c>
      <c r="F15" s="96"/>
      <c r="G15" s="44">
        <f t="shared" si="2"/>
        <v>0.86421390043897484</v>
      </c>
      <c r="H15" s="47">
        <v>74640</v>
      </c>
      <c r="I15" s="47">
        <v>74640</v>
      </c>
      <c r="J15" s="95">
        <f t="shared" si="0"/>
        <v>70758</v>
      </c>
      <c r="K15" s="81">
        <f>68517+548-20149</f>
        <v>48916</v>
      </c>
      <c r="L15" s="81">
        <v>21842</v>
      </c>
      <c r="M15" s="96"/>
      <c r="N15" s="44">
        <f t="shared" si="3"/>
        <v>0.9479903536977492</v>
      </c>
    </row>
    <row r="16" spans="1:14" x14ac:dyDescent="0.25">
      <c r="A16" s="80" t="s">
        <v>10</v>
      </c>
      <c r="B16" s="81">
        <v>500</v>
      </c>
      <c r="C16" s="81">
        <v>500</v>
      </c>
      <c r="D16" s="95">
        <f t="shared" si="1"/>
        <v>550</v>
      </c>
      <c r="E16" s="81">
        <v>550</v>
      </c>
      <c r="F16" s="96"/>
      <c r="G16" s="44">
        <f t="shared" si="2"/>
        <v>1.1000000000000001</v>
      </c>
      <c r="H16" s="47">
        <v>250</v>
      </c>
      <c r="I16" s="47">
        <v>250</v>
      </c>
      <c r="J16" s="95">
        <f t="shared" si="0"/>
        <v>250</v>
      </c>
      <c r="K16" s="81">
        <v>250</v>
      </c>
      <c r="L16" s="96"/>
      <c r="M16" s="96"/>
      <c r="N16" s="44">
        <f t="shared" si="3"/>
        <v>1</v>
      </c>
    </row>
    <row r="17" spans="1:14" x14ac:dyDescent="0.25">
      <c r="A17" s="80" t="s">
        <v>11</v>
      </c>
      <c r="B17" s="81">
        <v>1531</v>
      </c>
      <c r="C17" s="81">
        <v>1589</v>
      </c>
      <c r="D17" s="95">
        <f t="shared" si="1"/>
        <v>1741</v>
      </c>
      <c r="E17" s="81">
        <v>1741</v>
      </c>
      <c r="F17" s="81"/>
      <c r="G17" s="44">
        <f t="shared" si="2"/>
        <v>1.1371652514696278</v>
      </c>
      <c r="H17" s="47"/>
      <c r="I17" s="47">
        <v>0</v>
      </c>
      <c r="J17" s="95">
        <f t="shared" si="0"/>
        <v>0</v>
      </c>
      <c r="K17" s="81"/>
      <c r="L17" s="171"/>
      <c r="M17" s="171"/>
      <c r="N17" s="44"/>
    </row>
    <row r="18" spans="1:14" x14ac:dyDescent="0.25">
      <c r="A18" s="80" t="s">
        <v>12</v>
      </c>
      <c r="B18" s="81">
        <v>1246</v>
      </c>
      <c r="C18" s="81">
        <v>1425</v>
      </c>
      <c r="D18" s="95">
        <f t="shared" si="1"/>
        <v>3909</v>
      </c>
      <c r="E18" s="96"/>
      <c r="F18" s="81">
        <v>3909</v>
      </c>
      <c r="G18" s="44">
        <f t="shared" si="2"/>
        <v>3.1372391653290528</v>
      </c>
      <c r="H18" s="47"/>
      <c r="I18" s="47">
        <v>0</v>
      </c>
      <c r="J18" s="95">
        <f t="shared" si="0"/>
        <v>0</v>
      </c>
      <c r="K18" s="81"/>
      <c r="L18" s="172"/>
      <c r="M18" s="172"/>
      <c r="N18" s="44"/>
    </row>
    <row r="19" spans="1:14" ht="16.5" customHeight="1" x14ac:dyDescent="0.25">
      <c r="A19" s="80" t="s">
        <v>13</v>
      </c>
      <c r="B19" s="81">
        <v>1925</v>
      </c>
      <c r="C19" s="81">
        <v>2290</v>
      </c>
      <c r="D19" s="95">
        <f t="shared" si="1"/>
        <v>1455</v>
      </c>
      <c r="E19" s="96"/>
      <c r="F19" s="81">
        <v>1455</v>
      </c>
      <c r="G19" s="44">
        <f t="shared" si="2"/>
        <v>0.75584415584415587</v>
      </c>
      <c r="H19" s="47"/>
      <c r="I19" s="47">
        <v>0</v>
      </c>
      <c r="J19" s="95">
        <f t="shared" si="0"/>
        <v>0</v>
      </c>
      <c r="K19" s="81"/>
      <c r="L19" s="173"/>
      <c r="M19" s="173"/>
      <c r="N19" s="44"/>
    </row>
    <row r="20" spans="1:14" x14ac:dyDescent="0.25">
      <c r="A20" s="80" t="s">
        <v>14</v>
      </c>
      <c r="B20" s="81">
        <v>16799</v>
      </c>
      <c r="C20" s="81">
        <v>16844</v>
      </c>
      <c r="D20" s="95">
        <f t="shared" si="1"/>
        <v>17286</v>
      </c>
      <c r="E20" s="81">
        <v>16359</v>
      </c>
      <c r="F20" s="81">
        <v>927</v>
      </c>
      <c r="G20" s="44">
        <f t="shared" si="2"/>
        <v>1.028989820822668</v>
      </c>
      <c r="H20" s="47">
        <v>13070</v>
      </c>
      <c r="I20" s="47">
        <v>13070</v>
      </c>
      <c r="J20" s="95">
        <f t="shared" si="0"/>
        <v>15720</v>
      </c>
      <c r="K20" s="81">
        <v>15720</v>
      </c>
      <c r="L20" s="96"/>
      <c r="M20" s="96"/>
      <c r="N20" s="44">
        <f t="shared" si="3"/>
        <v>1.2027543993879113</v>
      </c>
    </row>
    <row r="21" spans="1:14" ht="30" x14ac:dyDescent="0.25">
      <c r="A21" s="80" t="s">
        <v>83</v>
      </c>
      <c r="B21" s="81">
        <v>3373</v>
      </c>
      <c r="C21" s="81">
        <v>3373</v>
      </c>
      <c r="D21" s="95">
        <f t="shared" si="1"/>
        <v>19304</v>
      </c>
      <c r="E21" s="81"/>
      <c r="F21" s="81">
        <v>19304</v>
      </c>
      <c r="G21" s="44">
        <f t="shared" si="2"/>
        <v>5.7230951675066706</v>
      </c>
      <c r="H21" s="47"/>
      <c r="I21" s="47">
        <v>0</v>
      </c>
      <c r="J21" s="95">
        <f t="shared" si="0"/>
        <v>0</v>
      </c>
      <c r="K21" s="81"/>
      <c r="L21" s="96"/>
      <c r="M21" s="96"/>
      <c r="N21" s="44"/>
    </row>
    <row r="22" spans="1:14" x14ac:dyDescent="0.25">
      <c r="A22" s="80" t="s">
        <v>15</v>
      </c>
      <c r="B22" s="81">
        <v>22833</v>
      </c>
      <c r="C22" s="81">
        <v>23149</v>
      </c>
      <c r="D22" s="95">
        <f t="shared" si="1"/>
        <v>17414</v>
      </c>
      <c r="E22" s="81">
        <f>17114+300</f>
        <v>17414</v>
      </c>
      <c r="F22" s="96"/>
      <c r="G22" s="44">
        <f t="shared" si="2"/>
        <v>0.76266806814698029</v>
      </c>
      <c r="H22" s="47">
        <v>23333</v>
      </c>
      <c r="I22" s="47">
        <v>23649</v>
      </c>
      <c r="J22" s="95">
        <f t="shared" si="0"/>
        <v>17964</v>
      </c>
      <c r="K22" s="81">
        <v>7964</v>
      </c>
      <c r="L22" s="81">
        <v>10000</v>
      </c>
      <c r="M22" s="96"/>
      <c r="N22" s="44">
        <f t="shared" si="3"/>
        <v>0.76989671281018301</v>
      </c>
    </row>
    <row r="23" spans="1:14" x14ac:dyDescent="0.25">
      <c r="A23" s="80" t="s">
        <v>16</v>
      </c>
      <c r="B23" s="81">
        <v>9295</v>
      </c>
      <c r="C23" s="81">
        <v>9303</v>
      </c>
      <c r="D23" s="95">
        <f t="shared" si="1"/>
        <v>2500</v>
      </c>
      <c r="E23" s="81">
        <v>2500</v>
      </c>
      <c r="F23" s="96"/>
      <c r="G23" s="44">
        <f t="shared" si="2"/>
        <v>0.26896180742334591</v>
      </c>
      <c r="H23" s="47">
        <v>9000</v>
      </c>
      <c r="I23" s="47">
        <v>9000</v>
      </c>
      <c r="J23" s="95">
        <f t="shared" si="0"/>
        <v>2500</v>
      </c>
      <c r="K23" s="81">
        <v>2500</v>
      </c>
      <c r="L23" s="96"/>
      <c r="M23" s="96"/>
      <c r="N23" s="44">
        <f t="shared" si="3"/>
        <v>0.27777777777777779</v>
      </c>
    </row>
    <row r="24" spans="1:14" ht="30" x14ac:dyDescent="0.25">
      <c r="A24" s="80" t="s">
        <v>17</v>
      </c>
      <c r="B24" s="81">
        <v>15924</v>
      </c>
      <c r="C24" s="81">
        <v>14887</v>
      </c>
      <c r="D24" s="95">
        <f t="shared" si="1"/>
        <v>15930</v>
      </c>
      <c r="E24" s="81">
        <f>16431-501</f>
        <v>15930</v>
      </c>
      <c r="F24" s="96"/>
      <c r="G24" s="44">
        <f t="shared" si="2"/>
        <v>1.0003767897513187</v>
      </c>
      <c r="H24" s="47">
        <v>14875</v>
      </c>
      <c r="I24" s="47">
        <v>17962</v>
      </c>
      <c r="J24" s="95">
        <f t="shared" si="0"/>
        <v>17235</v>
      </c>
      <c r="K24" s="81">
        <f>10783-548</f>
        <v>10235</v>
      </c>
      <c r="L24" s="140">
        <f>4000+3000</f>
        <v>7000</v>
      </c>
      <c r="M24" s="96"/>
      <c r="N24" s="44">
        <f t="shared" si="3"/>
        <v>1.1586554621848739</v>
      </c>
    </row>
    <row r="25" spans="1:14" s="49" customFormat="1" ht="28.5" x14ac:dyDescent="0.25">
      <c r="A25" s="74" t="s">
        <v>18</v>
      </c>
      <c r="B25" s="94"/>
      <c r="C25" s="94"/>
      <c r="D25" s="94"/>
      <c r="E25" s="94"/>
      <c r="F25" s="94"/>
      <c r="G25" s="44"/>
      <c r="H25" s="63">
        <f>SUM(H26:H28)</f>
        <v>75000</v>
      </c>
      <c r="I25" s="63">
        <f>SUM(I26:I28)</f>
        <v>75000</v>
      </c>
      <c r="J25" s="94">
        <f>+K25+L25+M25</f>
        <v>75000</v>
      </c>
      <c r="K25" s="94">
        <f>SUM(K26:K28)</f>
        <v>0</v>
      </c>
      <c r="L25" s="94">
        <f>SUM(L26:L28)</f>
        <v>75000</v>
      </c>
      <c r="M25" s="94">
        <f>SUM(M26:M28)</f>
        <v>0</v>
      </c>
      <c r="N25" s="44">
        <f t="shared" si="3"/>
        <v>1</v>
      </c>
    </row>
    <row r="26" spans="1:14" x14ac:dyDescent="0.25">
      <c r="A26" s="80" t="s">
        <v>72</v>
      </c>
      <c r="B26" s="96"/>
      <c r="C26" s="96"/>
      <c r="D26" s="96"/>
      <c r="E26" s="96"/>
      <c r="F26" s="96"/>
      <c r="G26" s="44"/>
      <c r="H26" s="37">
        <v>55000</v>
      </c>
      <c r="I26" s="37">
        <v>55000</v>
      </c>
      <c r="J26" s="37">
        <f>+K26+L26+M26</f>
        <v>53000</v>
      </c>
      <c r="K26" s="96"/>
      <c r="L26" s="81">
        <v>53000</v>
      </c>
      <c r="M26" s="96"/>
      <c r="N26" s="44">
        <f t="shared" si="3"/>
        <v>0.96363636363636362</v>
      </c>
    </row>
    <row r="27" spans="1:14" x14ac:dyDescent="0.25">
      <c r="A27" s="80" t="s">
        <v>73</v>
      </c>
      <c r="B27" s="96"/>
      <c r="C27" s="96"/>
      <c r="D27" s="96"/>
      <c r="E27" s="96"/>
      <c r="F27" s="96"/>
      <c r="G27" s="44"/>
      <c r="H27" s="37">
        <v>18000</v>
      </c>
      <c r="I27" s="37">
        <v>18000</v>
      </c>
      <c r="J27" s="37">
        <f>+K27+L27+M27</f>
        <v>19000</v>
      </c>
      <c r="K27" s="96"/>
      <c r="L27" s="81">
        <v>19000</v>
      </c>
      <c r="M27" s="96"/>
      <c r="N27" s="44">
        <f t="shared" si="3"/>
        <v>1.0555555555555556</v>
      </c>
    </row>
    <row r="28" spans="1:14" x14ac:dyDescent="0.25">
      <c r="A28" s="80" t="s">
        <v>74</v>
      </c>
      <c r="B28" s="96"/>
      <c r="C28" s="96"/>
      <c r="D28" s="96"/>
      <c r="E28" s="96"/>
      <c r="F28" s="96"/>
      <c r="G28" s="44"/>
      <c r="H28" s="38">
        <v>2000</v>
      </c>
      <c r="I28" s="38">
        <v>2000</v>
      </c>
      <c r="J28" s="37">
        <f t="shared" si="0"/>
        <v>3000</v>
      </c>
      <c r="K28" s="96"/>
      <c r="L28" s="81">
        <v>3000</v>
      </c>
      <c r="M28" s="96"/>
      <c r="N28" s="44">
        <f t="shared" si="3"/>
        <v>1.5</v>
      </c>
    </row>
    <row r="29" spans="1:14" s="46" customFormat="1" ht="14.25" x14ac:dyDescent="0.2">
      <c r="A29" s="50" t="s">
        <v>19</v>
      </c>
      <c r="B29" s="63">
        <f t="shared" ref="B29:M29" si="4">SUM(B25,B13,B3)</f>
        <v>427086</v>
      </c>
      <c r="C29" s="63">
        <v>427721</v>
      </c>
      <c r="D29" s="63">
        <f t="shared" si="4"/>
        <v>430871</v>
      </c>
      <c r="E29" s="63">
        <f t="shared" si="4"/>
        <v>300911</v>
      </c>
      <c r="F29" s="63">
        <f t="shared" si="4"/>
        <v>129960</v>
      </c>
      <c r="G29" s="44">
        <f t="shared" si="2"/>
        <v>1.0088623836885311</v>
      </c>
      <c r="H29" s="63">
        <f t="shared" si="4"/>
        <v>420125</v>
      </c>
      <c r="I29" s="63">
        <f>I3+I13+I25</f>
        <v>423885</v>
      </c>
      <c r="J29" s="63">
        <f>SUM(J25,J13,J3)</f>
        <v>413657</v>
      </c>
      <c r="K29" s="63">
        <f t="shared" si="4"/>
        <v>293867</v>
      </c>
      <c r="L29" s="63">
        <f t="shared" si="4"/>
        <v>115080</v>
      </c>
      <c r="M29" s="63">
        <f t="shared" si="4"/>
        <v>4710</v>
      </c>
      <c r="N29" s="44">
        <f t="shared" si="3"/>
        <v>0.98460458196965184</v>
      </c>
    </row>
    <row r="30" spans="1:14" s="46" customFormat="1" x14ac:dyDescent="0.2">
      <c r="A30" s="156" t="s">
        <v>93</v>
      </c>
      <c r="B30" s="94"/>
      <c r="C30" s="94"/>
      <c r="D30" s="94"/>
      <c r="E30" s="94"/>
      <c r="F30" s="94"/>
      <c r="G30" s="141"/>
      <c r="H30" s="94"/>
      <c r="I30" s="94"/>
      <c r="J30" s="94"/>
      <c r="K30" s="94"/>
      <c r="L30" s="94"/>
      <c r="M30" s="94"/>
      <c r="N30" s="141"/>
    </row>
    <row r="31" spans="1:14" x14ac:dyDescent="0.25">
      <c r="B31" s="51"/>
      <c r="C31" s="51"/>
      <c r="D31" s="49"/>
      <c r="E31" s="51"/>
      <c r="F31" s="51"/>
      <c r="G31" s="51"/>
      <c r="H31" s="51"/>
      <c r="I31" s="51"/>
      <c r="J31" s="51"/>
      <c r="K31" s="52"/>
      <c r="L31" s="51"/>
      <c r="M31" s="51"/>
      <c r="N31" s="51"/>
    </row>
    <row r="35" spans="1:11" x14ac:dyDescent="0.25">
      <c r="A35" s="53"/>
      <c r="K35" s="54"/>
    </row>
    <row r="36" spans="1:11" x14ac:dyDescent="0.25">
      <c r="A36" s="53"/>
    </row>
    <row r="37" spans="1:11" x14ac:dyDescent="0.25">
      <c r="A37" s="53"/>
    </row>
  </sheetData>
  <mergeCells count="5">
    <mergeCell ref="A1:A2"/>
    <mergeCell ref="B1:G1"/>
    <mergeCell ref="H1:N1"/>
    <mergeCell ref="L17:L19"/>
    <mergeCell ref="M17:M19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&amp;C&amp;"Times New Roman,Félkövér"&amp;12MARTONVÁSÁR VÁROS 2018. ÉVI KÖLTSÉGVETÉSI FELADATI(Költségek: E 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44"/>
  <sheetViews>
    <sheetView tabSelected="1" topLeftCell="A11" zoomScale="90" zoomScaleNormal="90" workbookViewId="0">
      <selection activeCell="A21" sqref="A21"/>
    </sheetView>
  </sheetViews>
  <sheetFormatPr defaultColWidth="9.140625" defaultRowHeight="15" x14ac:dyDescent="0.25"/>
  <cols>
    <col min="1" max="1" width="43.7109375" style="62" customWidth="1"/>
    <col min="2" max="3" width="12.42578125" style="71" customWidth="1"/>
    <col min="4" max="4" width="11.7109375" style="58" customWidth="1"/>
    <col min="5" max="5" width="12.85546875" style="62" customWidth="1"/>
    <col min="6" max="6" width="12.5703125" style="62" customWidth="1"/>
    <col min="7" max="7" width="11.28515625" style="16" customWidth="1"/>
    <col min="8" max="9" width="11.28515625" style="62" customWidth="1"/>
    <col min="10" max="10" width="12.140625" style="55" customWidth="1"/>
    <col min="11" max="11" width="12.85546875" style="62" customWidth="1"/>
    <col min="12" max="12" width="12.42578125" style="62" customWidth="1"/>
    <col min="13" max="13" width="9.5703125" style="62" customWidth="1"/>
    <col min="14" max="14" width="14.5703125" style="62" customWidth="1"/>
    <col min="15" max="15" width="11.28515625" style="62" bestFit="1" customWidth="1"/>
    <col min="16" max="16" width="12.28515625" style="62" bestFit="1" customWidth="1"/>
    <col min="17" max="16384" width="9.140625" style="62"/>
  </cols>
  <sheetData>
    <row r="1" spans="1:16" s="55" customFormat="1" ht="15.75" customHeight="1" x14ac:dyDescent="0.25">
      <c r="A1" s="165" t="s">
        <v>29</v>
      </c>
      <c r="B1" s="167" t="s">
        <v>46</v>
      </c>
      <c r="C1" s="167"/>
      <c r="D1" s="167"/>
      <c r="E1" s="167"/>
      <c r="F1" s="167"/>
      <c r="G1" s="168"/>
      <c r="H1" s="189" t="s">
        <v>48</v>
      </c>
      <c r="I1" s="189"/>
      <c r="J1" s="189"/>
      <c r="K1" s="189"/>
      <c r="L1" s="189"/>
      <c r="M1" s="189"/>
      <c r="N1" s="190"/>
    </row>
    <row r="2" spans="1:16" s="55" customFormat="1" ht="58.5" x14ac:dyDescent="0.25">
      <c r="A2" s="166"/>
      <c r="B2" s="40" t="s">
        <v>86</v>
      </c>
      <c r="C2" s="40" t="s">
        <v>95</v>
      </c>
      <c r="D2" s="40" t="s">
        <v>87</v>
      </c>
      <c r="E2" s="40" t="s">
        <v>31</v>
      </c>
      <c r="F2" s="40" t="s">
        <v>64</v>
      </c>
      <c r="G2" s="56" t="s">
        <v>21</v>
      </c>
      <c r="H2" s="40" t="s">
        <v>86</v>
      </c>
      <c r="I2" s="40" t="s">
        <v>95</v>
      </c>
      <c r="J2" s="40" t="s">
        <v>88</v>
      </c>
      <c r="K2" s="42" t="s">
        <v>30</v>
      </c>
      <c r="L2" s="40" t="s">
        <v>65</v>
      </c>
      <c r="M2" s="40" t="s">
        <v>0</v>
      </c>
      <c r="N2" s="41" t="s">
        <v>21</v>
      </c>
    </row>
    <row r="3" spans="1:16" s="58" customFormat="1" ht="14.45" customHeight="1" x14ac:dyDescent="0.2">
      <c r="A3" s="74" t="s">
        <v>43</v>
      </c>
      <c r="B3" s="97">
        <f>SUM(B4:B7)</f>
        <v>259428</v>
      </c>
      <c r="C3" s="97">
        <f>SUM(C4:C7)</f>
        <v>276966</v>
      </c>
      <c r="D3" s="97">
        <f t="shared" ref="D3:D7" si="0">SUM(E3:F3)</f>
        <v>256539</v>
      </c>
      <c r="E3" s="97">
        <f>SUM(E4:E7)</f>
        <v>251350</v>
      </c>
      <c r="F3" s="97">
        <f>SUM(F4:F7)</f>
        <v>5189</v>
      </c>
      <c r="G3" s="44">
        <f>+D3/B3</f>
        <v>0.9888639622554235</v>
      </c>
      <c r="H3" s="69">
        <v>115839</v>
      </c>
      <c r="I3" s="69">
        <f>SUM(I4:I7)</f>
        <v>129084</v>
      </c>
      <c r="J3" s="97">
        <f>SUM(K3:M3)</f>
        <v>134571</v>
      </c>
      <c r="K3" s="97">
        <f>SUM(K4:K7)</f>
        <v>102423</v>
      </c>
      <c r="L3" s="97">
        <f>SUM(L4:L7)</f>
        <v>16548</v>
      </c>
      <c r="M3" s="97">
        <f>SUM(M4:M7)</f>
        <v>15600</v>
      </c>
      <c r="N3" s="57">
        <f>+J3/H3</f>
        <v>1.1617071970579858</v>
      </c>
      <c r="P3" s="153"/>
    </row>
    <row r="4" spans="1:16" x14ac:dyDescent="0.25">
      <c r="A4" s="72" t="s">
        <v>23</v>
      </c>
      <c r="B4" s="98">
        <v>212550</v>
      </c>
      <c r="C4" s="139">
        <v>215084</v>
      </c>
      <c r="D4" s="99">
        <f t="shared" si="0"/>
        <v>204694</v>
      </c>
      <c r="E4" s="98">
        <f>202487-2482-500</f>
        <v>199505</v>
      </c>
      <c r="F4" s="98">
        <v>5189</v>
      </c>
      <c r="G4" s="59">
        <f t="shared" ref="G4:G32" si="1">+D4/B4</f>
        <v>0.96303928487414725</v>
      </c>
      <c r="H4" s="60">
        <v>107114</v>
      </c>
      <c r="I4" s="60">
        <v>109545</v>
      </c>
      <c r="J4" s="99">
        <f t="shared" ref="J4:J14" si="2">SUM(K4:M4)</f>
        <v>127735</v>
      </c>
      <c r="K4" s="81">
        <f>101035</f>
        <v>101035</v>
      </c>
      <c r="L4" s="98">
        <f>700+10400</f>
        <v>11100</v>
      </c>
      <c r="M4" s="98">
        <v>15600</v>
      </c>
      <c r="N4" s="61">
        <f t="shared" ref="N4:N30" si="3">+J4/H4</f>
        <v>1.1925145172433109</v>
      </c>
    </row>
    <row r="5" spans="1:16" x14ac:dyDescent="0.25">
      <c r="A5" s="72" t="s">
        <v>24</v>
      </c>
      <c r="B5" s="98">
        <v>3061</v>
      </c>
      <c r="C5" s="139">
        <v>3061</v>
      </c>
      <c r="D5" s="99">
        <f t="shared" si="0"/>
        <v>2982</v>
      </c>
      <c r="E5" s="98">
        <f>2482+500</f>
        <v>2982</v>
      </c>
      <c r="F5" s="66"/>
      <c r="G5" s="59">
        <f t="shared" si="1"/>
        <v>0.97419144070565178</v>
      </c>
      <c r="H5" s="60">
        <v>2985</v>
      </c>
      <c r="I5" s="60">
        <v>2985</v>
      </c>
      <c r="J5" s="99">
        <f t="shared" si="2"/>
        <v>3231</v>
      </c>
      <c r="K5" s="98">
        <v>1080</v>
      </c>
      <c r="L5" s="98">
        <f>1300+500+351</f>
        <v>2151</v>
      </c>
      <c r="M5" s="98">
        <v>0</v>
      </c>
      <c r="N5" s="61">
        <f t="shared" si="3"/>
        <v>1.0824120603015075</v>
      </c>
    </row>
    <row r="6" spans="1:16" ht="45" x14ac:dyDescent="0.25">
      <c r="A6" s="72" t="s">
        <v>35</v>
      </c>
      <c r="B6" s="98">
        <v>40074</v>
      </c>
      <c r="C6" s="139">
        <v>54920</v>
      </c>
      <c r="D6" s="99">
        <f t="shared" si="0"/>
        <v>43138</v>
      </c>
      <c r="E6" s="81">
        <f>31114+12024</f>
        <v>43138</v>
      </c>
      <c r="F6" s="66"/>
      <c r="G6" s="59">
        <f t="shared" si="1"/>
        <v>1.0764585516793932</v>
      </c>
      <c r="H6" s="60">
        <v>5421</v>
      </c>
      <c r="I6" s="60">
        <v>16235</v>
      </c>
      <c r="J6" s="99">
        <f t="shared" si="2"/>
        <v>3297</v>
      </c>
      <c r="K6" s="98"/>
      <c r="L6" s="98">
        <f>1355+500+135+135+600-10+582</f>
        <v>3297</v>
      </c>
      <c r="M6" s="81">
        <v>0</v>
      </c>
      <c r="N6" s="61">
        <f t="shared" si="3"/>
        <v>0.60819037078029881</v>
      </c>
    </row>
    <row r="7" spans="1:16" ht="32.450000000000003" customHeight="1" x14ac:dyDescent="0.25">
      <c r="A7" s="72" t="s">
        <v>33</v>
      </c>
      <c r="B7" s="98">
        <v>3743</v>
      </c>
      <c r="C7" s="139">
        <v>3901</v>
      </c>
      <c r="D7" s="99">
        <f t="shared" si="0"/>
        <v>5725</v>
      </c>
      <c r="E7" s="81">
        <v>5725</v>
      </c>
      <c r="F7" s="66"/>
      <c r="G7" s="59">
        <f t="shared" si="1"/>
        <v>1.5295217739780924</v>
      </c>
      <c r="H7" s="60">
        <v>319</v>
      </c>
      <c r="I7" s="60">
        <v>319</v>
      </c>
      <c r="J7" s="99">
        <f t="shared" si="2"/>
        <v>308</v>
      </c>
      <c r="K7" s="98">
        <v>308</v>
      </c>
      <c r="L7" s="98"/>
      <c r="M7" s="81">
        <v>0</v>
      </c>
      <c r="N7" s="61">
        <v>0</v>
      </c>
    </row>
    <row r="8" spans="1:16" s="58" customFormat="1" ht="28.5" x14ac:dyDescent="0.2">
      <c r="A8" s="74" t="s">
        <v>36</v>
      </c>
      <c r="B8" s="97">
        <f>SUM(B9:B12)</f>
        <v>65807</v>
      </c>
      <c r="C8" s="97">
        <f>SUM(C9:C12)</f>
        <v>104824</v>
      </c>
      <c r="D8" s="97">
        <f>SUM(E8:F8)</f>
        <v>71785</v>
      </c>
      <c r="E8" s="97">
        <f>SUM(E9:E12)</f>
        <v>58934</v>
      </c>
      <c r="F8" s="97">
        <f>SUM(F9:F12)</f>
        <v>12851</v>
      </c>
      <c r="G8" s="44">
        <f t="shared" si="1"/>
        <v>1.0908413998510798</v>
      </c>
      <c r="H8" s="97">
        <v>11943</v>
      </c>
      <c r="I8" s="97">
        <f>SUM(I9:I12)</f>
        <v>37436</v>
      </c>
      <c r="J8" s="97">
        <f t="shared" si="2"/>
        <v>12923</v>
      </c>
      <c r="K8" s="97">
        <f>SUM(K9:K12)</f>
        <v>6965</v>
      </c>
      <c r="L8" s="97">
        <f>SUM(L9:L12)</f>
        <v>5958</v>
      </c>
      <c r="M8" s="97">
        <f>SUM(M9:M12)</f>
        <v>0</v>
      </c>
      <c r="N8" s="57">
        <f t="shared" si="3"/>
        <v>1.0820564347316419</v>
      </c>
      <c r="P8" s="153"/>
    </row>
    <row r="9" spans="1:16" x14ac:dyDescent="0.25">
      <c r="A9" s="72" t="s">
        <v>25</v>
      </c>
      <c r="B9" s="191">
        <v>58747</v>
      </c>
      <c r="C9" s="142">
        <v>95521</v>
      </c>
      <c r="D9" s="192">
        <f>SUM(E9:F10)</f>
        <v>63566</v>
      </c>
      <c r="E9" s="188">
        <v>50715</v>
      </c>
      <c r="F9" s="98">
        <v>12851</v>
      </c>
      <c r="G9" s="59">
        <f t="shared" si="1"/>
        <v>1.0820297206665872</v>
      </c>
      <c r="H9" s="60">
        <v>2268</v>
      </c>
      <c r="I9" s="60">
        <v>27574</v>
      </c>
      <c r="J9" s="99">
        <f t="shared" si="2"/>
        <v>5958</v>
      </c>
      <c r="K9" s="98"/>
      <c r="L9" s="98">
        <v>5958</v>
      </c>
      <c r="M9" s="98">
        <v>0</v>
      </c>
      <c r="N9" s="61">
        <f t="shared" si="3"/>
        <v>2.626984126984127</v>
      </c>
    </row>
    <row r="10" spans="1:16" ht="15" customHeight="1" x14ac:dyDescent="0.25">
      <c r="A10" s="73" t="s">
        <v>34</v>
      </c>
      <c r="B10" s="191"/>
      <c r="C10" s="143"/>
      <c r="D10" s="193"/>
      <c r="E10" s="188"/>
      <c r="F10" s="98"/>
      <c r="G10" s="59"/>
      <c r="H10" s="60">
        <v>9675</v>
      </c>
      <c r="I10" s="60">
        <v>9862</v>
      </c>
      <c r="J10" s="99">
        <f t="shared" si="2"/>
        <v>6965</v>
      </c>
      <c r="K10" s="98">
        <v>6965</v>
      </c>
      <c r="L10" s="98"/>
      <c r="M10" s="98">
        <v>0</v>
      </c>
      <c r="N10" s="61">
        <f t="shared" si="3"/>
        <v>0.71989664082687344</v>
      </c>
    </row>
    <row r="11" spans="1:16" ht="15" customHeight="1" x14ac:dyDescent="0.25">
      <c r="A11" s="73" t="s">
        <v>37</v>
      </c>
      <c r="B11" s="100">
        <v>1500</v>
      </c>
      <c r="C11" s="143">
        <v>4680</v>
      </c>
      <c r="D11" s="101">
        <f>SUM(E11:F11)</f>
        <v>3000</v>
      </c>
      <c r="E11" s="98">
        <v>3000</v>
      </c>
      <c r="F11" s="66"/>
      <c r="G11" s="59">
        <f t="shared" si="1"/>
        <v>2</v>
      </c>
      <c r="H11" s="60">
        <v>0</v>
      </c>
      <c r="I11" s="60">
        <v>0</v>
      </c>
      <c r="J11" s="99">
        <f t="shared" si="2"/>
        <v>0</v>
      </c>
      <c r="K11" s="98">
        <v>0</v>
      </c>
      <c r="L11" s="98">
        <v>0</v>
      </c>
      <c r="M11" s="98">
        <v>0</v>
      </c>
      <c r="N11" s="61"/>
    </row>
    <row r="12" spans="1:16" ht="15" customHeight="1" x14ac:dyDescent="0.25">
      <c r="A12" s="73" t="s">
        <v>66</v>
      </c>
      <c r="B12" s="100">
        <v>5560</v>
      </c>
      <c r="C12" s="143">
        <v>4623</v>
      </c>
      <c r="D12" s="101">
        <f>SUM(E12:F12)</f>
        <v>5219</v>
      </c>
      <c r="E12" s="81">
        <v>5219</v>
      </c>
      <c r="F12" s="98"/>
      <c r="G12" s="59">
        <f t="shared" si="1"/>
        <v>0.93866906474820144</v>
      </c>
      <c r="H12" s="60">
        <v>0</v>
      </c>
      <c r="I12" s="60">
        <v>0</v>
      </c>
      <c r="J12" s="99">
        <f t="shared" si="2"/>
        <v>0</v>
      </c>
      <c r="K12" s="98">
        <v>0</v>
      </c>
      <c r="L12" s="98">
        <v>0</v>
      </c>
      <c r="M12" s="98">
        <v>0</v>
      </c>
      <c r="N12" s="61"/>
    </row>
    <row r="13" spans="1:16" s="58" customFormat="1" ht="28.5" x14ac:dyDescent="0.2">
      <c r="A13" s="74" t="s">
        <v>39</v>
      </c>
      <c r="B13" s="97">
        <f>SUM(B14:B19)</f>
        <v>19231</v>
      </c>
      <c r="C13" s="97">
        <f>SUM(C14:C19)</f>
        <v>19278</v>
      </c>
      <c r="D13" s="97">
        <f>+E13+F13</f>
        <v>6000</v>
      </c>
      <c r="E13" s="97">
        <f>SUM(E14:E19)</f>
        <v>6000</v>
      </c>
      <c r="F13" s="97">
        <f>SUM(F14:F19)</f>
        <v>0</v>
      </c>
      <c r="G13" s="44">
        <f t="shared" si="1"/>
        <v>0.31199625604492748</v>
      </c>
      <c r="H13" s="69">
        <v>0</v>
      </c>
      <c r="I13" s="69">
        <v>0</v>
      </c>
      <c r="J13" s="97">
        <f t="shared" si="2"/>
        <v>0</v>
      </c>
      <c r="K13" s="97"/>
      <c r="L13" s="97"/>
      <c r="M13" s="97"/>
      <c r="N13" s="57"/>
      <c r="P13" s="153"/>
    </row>
    <row r="14" spans="1:16" x14ac:dyDescent="0.25">
      <c r="A14" s="75" t="s">
        <v>79</v>
      </c>
      <c r="B14" s="98">
        <v>9631</v>
      </c>
      <c r="C14" s="139">
        <v>9678</v>
      </c>
      <c r="D14" s="99">
        <f>SUM(E14:F14)</f>
        <v>0</v>
      </c>
      <c r="E14" s="81"/>
      <c r="F14" s="81">
        <v>0</v>
      </c>
      <c r="G14" s="59"/>
      <c r="H14" s="60">
        <v>0</v>
      </c>
      <c r="I14" s="60">
        <v>0</v>
      </c>
      <c r="J14" s="99">
        <f t="shared" si="2"/>
        <v>0</v>
      </c>
      <c r="K14" s="66"/>
      <c r="L14" s="66"/>
      <c r="M14" s="66"/>
      <c r="N14" s="61"/>
    </row>
    <row r="15" spans="1:16" x14ac:dyDescent="0.25">
      <c r="A15" s="72" t="s">
        <v>40</v>
      </c>
      <c r="B15" s="98">
        <v>0</v>
      </c>
      <c r="C15" s="139">
        <v>0</v>
      </c>
      <c r="D15" s="99">
        <f t="shared" ref="D15:D21" si="4">SUM(E15:F15)</f>
        <v>0</v>
      </c>
      <c r="E15" s="81"/>
      <c r="F15" s="66"/>
      <c r="G15" s="59"/>
      <c r="H15" s="60">
        <v>0</v>
      </c>
      <c r="I15" s="60">
        <v>0</v>
      </c>
      <c r="J15" s="99">
        <f t="shared" ref="J15:J21" si="5">SUM(K15:M15)</f>
        <v>0</v>
      </c>
      <c r="K15" s="66"/>
      <c r="L15" s="66"/>
      <c r="M15" s="66"/>
      <c r="N15" s="61"/>
    </row>
    <row r="16" spans="1:16" x14ac:dyDescent="0.25">
      <c r="A16" s="72" t="s">
        <v>41</v>
      </c>
      <c r="B16" s="98">
        <v>0</v>
      </c>
      <c r="C16" s="139">
        <v>0</v>
      </c>
      <c r="D16" s="99">
        <f t="shared" si="4"/>
        <v>0</v>
      </c>
      <c r="E16" s="81"/>
      <c r="F16" s="66"/>
      <c r="G16" s="59"/>
      <c r="H16" s="60">
        <v>0</v>
      </c>
      <c r="I16" s="60">
        <v>0</v>
      </c>
      <c r="J16" s="99">
        <f t="shared" si="5"/>
        <v>0</v>
      </c>
      <c r="K16" s="66"/>
      <c r="L16" s="66"/>
      <c r="M16" s="66"/>
      <c r="N16" s="61"/>
    </row>
    <row r="17" spans="1:16" x14ac:dyDescent="0.25">
      <c r="A17" s="72" t="s">
        <v>80</v>
      </c>
      <c r="B17" s="98">
        <v>2100</v>
      </c>
      <c r="C17" s="139">
        <v>2100</v>
      </c>
      <c r="D17" s="99">
        <f t="shared" si="4"/>
        <v>0</v>
      </c>
      <c r="E17" s="81"/>
      <c r="F17" s="81"/>
      <c r="G17" s="59">
        <f>+D17/B17</f>
        <v>0</v>
      </c>
      <c r="H17" s="60">
        <v>0</v>
      </c>
      <c r="I17" s="60">
        <v>0</v>
      </c>
      <c r="J17" s="99">
        <f t="shared" si="5"/>
        <v>0</v>
      </c>
      <c r="K17" s="66"/>
      <c r="L17" s="66"/>
      <c r="M17" s="66"/>
      <c r="N17" s="61"/>
    </row>
    <row r="18" spans="1:16" x14ac:dyDescent="0.25">
      <c r="A18" s="72" t="s">
        <v>38</v>
      </c>
      <c r="B18" s="98">
        <v>6000</v>
      </c>
      <c r="C18" s="139">
        <v>6000</v>
      </c>
      <c r="D18" s="99">
        <f t="shared" si="4"/>
        <v>6000</v>
      </c>
      <c r="E18" s="81">
        <v>6000</v>
      </c>
      <c r="F18" s="66"/>
      <c r="G18" s="59">
        <f>+D18/B18</f>
        <v>1</v>
      </c>
      <c r="H18" s="60">
        <v>0</v>
      </c>
      <c r="I18" s="60">
        <v>0</v>
      </c>
      <c r="J18" s="99">
        <f t="shared" si="5"/>
        <v>0</v>
      </c>
      <c r="K18" s="66"/>
      <c r="L18" s="66"/>
      <c r="M18" s="66"/>
      <c r="N18" s="61"/>
    </row>
    <row r="19" spans="1:16" ht="30" x14ac:dyDescent="0.25">
      <c r="A19" s="72" t="s">
        <v>42</v>
      </c>
      <c r="B19" s="98">
        <v>1500</v>
      </c>
      <c r="C19" s="139">
        <v>1500</v>
      </c>
      <c r="D19" s="99">
        <f t="shared" si="4"/>
        <v>0</v>
      </c>
      <c r="E19" s="81">
        <v>0</v>
      </c>
      <c r="F19" s="66"/>
      <c r="G19" s="59">
        <f>+D19/B19</f>
        <v>0</v>
      </c>
      <c r="H19" s="60">
        <v>0</v>
      </c>
      <c r="I19" s="60">
        <v>0</v>
      </c>
      <c r="J19" s="99">
        <f t="shared" si="5"/>
        <v>0</v>
      </c>
      <c r="K19" s="66"/>
      <c r="L19" s="66"/>
      <c r="M19" s="66"/>
      <c r="N19" s="61"/>
    </row>
    <row r="20" spans="1:16" s="58" customFormat="1" ht="14.25" x14ac:dyDescent="0.2">
      <c r="A20" s="74" t="s">
        <v>44</v>
      </c>
      <c r="B20" s="97">
        <v>950</v>
      </c>
      <c r="C20" s="97">
        <v>996</v>
      </c>
      <c r="D20" s="97">
        <f>+E20+F20</f>
        <v>1000</v>
      </c>
      <c r="E20" s="97">
        <f>SUM(E21:E21)</f>
        <v>1000</v>
      </c>
      <c r="F20" s="97">
        <f>SUM(F21:F21)</f>
        <v>0</v>
      </c>
      <c r="G20" s="44">
        <f>+D20/B20</f>
        <v>1.0526315789473684</v>
      </c>
      <c r="H20" s="69">
        <v>0</v>
      </c>
      <c r="I20" s="69">
        <v>0</v>
      </c>
      <c r="J20" s="97">
        <f>SUM(K20:M20)</f>
        <v>0</v>
      </c>
      <c r="K20" s="97"/>
      <c r="L20" s="97"/>
      <c r="M20" s="97"/>
      <c r="N20" s="57"/>
      <c r="P20" s="153"/>
    </row>
    <row r="21" spans="1:16" ht="60" x14ac:dyDescent="0.25">
      <c r="A21" s="72" t="s">
        <v>97</v>
      </c>
      <c r="B21" s="98">
        <v>950</v>
      </c>
      <c r="C21" s="139">
        <v>996</v>
      </c>
      <c r="D21" s="99">
        <f t="shared" si="4"/>
        <v>1000</v>
      </c>
      <c r="E21" s="81">
        <v>1000</v>
      </c>
      <c r="F21" s="66"/>
      <c r="G21" s="59">
        <f t="shared" si="1"/>
        <v>1.0526315789473684</v>
      </c>
      <c r="H21" s="60">
        <v>0</v>
      </c>
      <c r="I21" s="60">
        <v>0</v>
      </c>
      <c r="J21" s="99">
        <f t="shared" si="5"/>
        <v>0</v>
      </c>
      <c r="K21" s="66"/>
      <c r="L21" s="66"/>
      <c r="M21" s="66"/>
      <c r="N21" s="61"/>
    </row>
    <row r="22" spans="1:16" s="64" customFormat="1" ht="14.25" x14ac:dyDescent="0.2">
      <c r="A22" s="76" t="s">
        <v>26</v>
      </c>
      <c r="B22" s="94">
        <v>4158</v>
      </c>
      <c r="C22" s="94">
        <f>C23+C24</f>
        <v>21345</v>
      </c>
      <c r="D22" s="94">
        <f>+E22+F22</f>
        <v>0</v>
      </c>
      <c r="E22" s="94">
        <f>SUM(E23:E24)</f>
        <v>0</v>
      </c>
      <c r="F22" s="94">
        <f>SUM(F23:F24)</f>
        <v>0</v>
      </c>
      <c r="G22" s="44">
        <f t="shared" si="1"/>
        <v>0</v>
      </c>
      <c r="H22" s="63">
        <v>4050</v>
      </c>
      <c r="I22" s="63">
        <f>I23+I24</f>
        <v>21237</v>
      </c>
      <c r="J22" s="94">
        <f t="shared" ref="J22:J31" si="6">SUM(K22:M22)</f>
        <v>4403</v>
      </c>
      <c r="K22" s="94">
        <f>SUM(K23:K23)</f>
        <v>0</v>
      </c>
      <c r="L22" s="94">
        <f>SUM(L23:L23)</f>
        <v>0</v>
      </c>
      <c r="M22" s="94">
        <f>SUM(M23:M24)</f>
        <v>4403</v>
      </c>
      <c r="N22" s="44">
        <f t="shared" si="3"/>
        <v>1.0871604938271604</v>
      </c>
      <c r="P22" s="154"/>
    </row>
    <row r="23" spans="1:16" s="16" customFormat="1" x14ac:dyDescent="0.25">
      <c r="A23" s="77" t="s">
        <v>32</v>
      </c>
      <c r="B23" s="81"/>
      <c r="C23" s="81">
        <v>17187</v>
      </c>
      <c r="D23" s="95">
        <f>+E23+F23</f>
        <v>0</v>
      </c>
      <c r="E23" s="81"/>
      <c r="F23" s="96"/>
      <c r="G23" s="59"/>
      <c r="H23" s="47">
        <v>0</v>
      </c>
      <c r="I23" s="47">
        <v>17187</v>
      </c>
      <c r="J23" s="95">
        <f t="shared" si="6"/>
        <v>0</v>
      </c>
      <c r="K23" s="96"/>
      <c r="L23" s="96"/>
      <c r="M23" s="96"/>
      <c r="N23" s="59"/>
    </row>
    <row r="24" spans="1:16" s="16" customFormat="1" x14ac:dyDescent="0.25">
      <c r="A24" s="77" t="s">
        <v>27</v>
      </c>
      <c r="B24" s="81">
        <v>4158</v>
      </c>
      <c r="C24" s="81">
        <v>4158</v>
      </c>
      <c r="D24" s="95">
        <f>+E24+F24</f>
        <v>0</v>
      </c>
      <c r="E24" s="81">
        <v>0</v>
      </c>
      <c r="F24" s="96"/>
      <c r="G24" s="59">
        <f t="shared" si="1"/>
        <v>0</v>
      </c>
      <c r="H24" s="47">
        <v>4050</v>
      </c>
      <c r="I24" s="47">
        <v>4050</v>
      </c>
      <c r="J24" s="95">
        <f t="shared" si="6"/>
        <v>4403</v>
      </c>
      <c r="K24" s="96"/>
      <c r="L24" s="96"/>
      <c r="M24" s="81">
        <v>4403</v>
      </c>
      <c r="N24" s="59">
        <f t="shared" si="3"/>
        <v>1.0871604938271604</v>
      </c>
    </row>
    <row r="25" spans="1:16" x14ac:dyDescent="0.25">
      <c r="A25" s="78" t="s">
        <v>96</v>
      </c>
      <c r="B25" s="97">
        <v>21763</v>
      </c>
      <c r="C25" s="65">
        <v>28727</v>
      </c>
      <c r="D25" s="65">
        <f>+D31</f>
        <v>25600</v>
      </c>
      <c r="E25" s="65">
        <f>+E31</f>
        <v>25600</v>
      </c>
      <c r="F25" s="65">
        <f>+F31</f>
        <v>0</v>
      </c>
      <c r="G25" s="59">
        <f t="shared" si="1"/>
        <v>1.1763084133621284</v>
      </c>
      <c r="H25" s="65">
        <v>225693</v>
      </c>
      <c r="I25" s="65">
        <f>SUM(I26:I31)</f>
        <v>252222</v>
      </c>
      <c r="J25" s="102">
        <f t="shared" si="6"/>
        <v>226241</v>
      </c>
      <c r="K25" s="103">
        <f>SUM(K26:K31)</f>
        <v>0</v>
      </c>
      <c r="L25" s="97">
        <f>SUM(L26:L31)</f>
        <v>226241</v>
      </c>
      <c r="M25" s="103">
        <f>SUM(M26:M31)</f>
        <v>0</v>
      </c>
      <c r="N25" s="57">
        <f t="shared" si="3"/>
        <v>1.0024280770781548</v>
      </c>
      <c r="P25" s="155"/>
    </row>
    <row r="26" spans="1:16" x14ac:dyDescent="0.25">
      <c r="A26" s="72" t="s">
        <v>67</v>
      </c>
      <c r="B26" s="66"/>
      <c r="C26" s="66">
        <v>0</v>
      </c>
      <c r="D26" s="66"/>
      <c r="E26" s="66"/>
      <c r="F26" s="66"/>
      <c r="G26" s="59"/>
      <c r="H26" s="60">
        <v>3500</v>
      </c>
      <c r="I26" s="60">
        <v>3500</v>
      </c>
      <c r="J26" s="99">
        <f t="shared" si="6"/>
        <v>3500</v>
      </c>
      <c r="K26" s="66"/>
      <c r="L26" s="98">
        <v>3500</v>
      </c>
      <c r="M26" s="66"/>
      <c r="N26" s="61">
        <f t="shared" si="3"/>
        <v>1</v>
      </c>
    </row>
    <row r="27" spans="1:16" x14ac:dyDescent="0.25">
      <c r="A27" s="72" t="s">
        <v>68</v>
      </c>
      <c r="B27" s="66"/>
      <c r="C27" s="66">
        <v>0</v>
      </c>
      <c r="D27" s="66"/>
      <c r="E27" s="66"/>
      <c r="F27" s="66"/>
      <c r="G27" s="59"/>
      <c r="H27" s="60">
        <v>136000</v>
      </c>
      <c r="I27" s="60">
        <v>136000</v>
      </c>
      <c r="J27" s="99">
        <f t="shared" si="6"/>
        <v>141000</v>
      </c>
      <c r="K27" s="66"/>
      <c r="L27" s="98">
        <v>141000</v>
      </c>
      <c r="M27" s="66"/>
      <c r="N27" s="61">
        <f t="shared" si="3"/>
        <v>1.036764705882353</v>
      </c>
    </row>
    <row r="28" spans="1:16" x14ac:dyDescent="0.25">
      <c r="A28" s="72" t="s">
        <v>69</v>
      </c>
      <c r="B28" s="66"/>
      <c r="C28" s="66">
        <v>0</v>
      </c>
      <c r="D28" s="66"/>
      <c r="E28" s="66"/>
      <c r="F28" s="66"/>
      <c r="G28" s="59"/>
      <c r="H28" s="60">
        <v>54000</v>
      </c>
      <c r="I28" s="60">
        <v>54000</v>
      </c>
      <c r="J28" s="99">
        <f t="shared" si="6"/>
        <v>48000</v>
      </c>
      <c r="K28" s="66"/>
      <c r="L28" s="81">
        <v>48000</v>
      </c>
      <c r="M28" s="66"/>
      <c r="N28" s="61">
        <f t="shared" si="3"/>
        <v>0.88888888888888884</v>
      </c>
    </row>
    <row r="29" spans="1:16" x14ac:dyDescent="0.25">
      <c r="A29" s="72" t="s">
        <v>70</v>
      </c>
      <c r="B29" s="66"/>
      <c r="C29" s="66">
        <v>0</v>
      </c>
      <c r="D29" s="66"/>
      <c r="E29" s="66"/>
      <c r="F29" s="66"/>
      <c r="G29" s="59"/>
      <c r="H29" s="60">
        <v>20000</v>
      </c>
      <c r="I29" s="60">
        <v>20000</v>
      </c>
      <c r="J29" s="99">
        <f t="shared" si="6"/>
        <v>25000</v>
      </c>
      <c r="K29" s="66"/>
      <c r="L29" s="98">
        <v>25000</v>
      </c>
      <c r="M29" s="66"/>
      <c r="N29" s="61">
        <f t="shared" si="3"/>
        <v>1.25</v>
      </c>
    </row>
    <row r="30" spans="1:16" ht="56.45" customHeight="1" x14ac:dyDescent="0.25">
      <c r="A30" s="72" t="s">
        <v>71</v>
      </c>
      <c r="B30" s="66"/>
      <c r="C30" s="66">
        <v>0</v>
      </c>
      <c r="D30" s="66"/>
      <c r="E30" s="66"/>
      <c r="F30" s="66"/>
      <c r="G30" s="59"/>
      <c r="H30" s="60">
        <v>5693</v>
      </c>
      <c r="I30" s="60">
        <v>8187</v>
      </c>
      <c r="J30" s="99">
        <f t="shared" si="6"/>
        <v>4347</v>
      </c>
      <c r="K30" s="66"/>
      <c r="L30" s="98">
        <f>1763+500+1355+729</f>
        <v>4347</v>
      </c>
      <c r="M30" s="98">
        <v>0</v>
      </c>
      <c r="N30" s="61">
        <f t="shared" si="3"/>
        <v>0.76356929562620768</v>
      </c>
      <c r="P30" s="67"/>
    </row>
    <row r="31" spans="1:16" s="16" customFormat="1" x14ac:dyDescent="0.25">
      <c r="A31" s="77" t="s">
        <v>77</v>
      </c>
      <c r="B31" s="81">
        <v>16500</v>
      </c>
      <c r="C31" s="81">
        <v>28727</v>
      </c>
      <c r="D31" s="95">
        <f>+E31</f>
        <v>25600</v>
      </c>
      <c r="E31" s="47">
        <f>10000+15600</f>
        <v>25600</v>
      </c>
      <c r="F31" s="96"/>
      <c r="G31" s="59">
        <f t="shared" si="1"/>
        <v>1.5515151515151515</v>
      </c>
      <c r="H31" s="47">
        <v>6500</v>
      </c>
      <c r="I31" s="47">
        <v>30535</v>
      </c>
      <c r="J31" s="95">
        <f t="shared" si="6"/>
        <v>4394</v>
      </c>
      <c r="K31" s="96"/>
      <c r="L31" s="81">
        <v>4394</v>
      </c>
      <c r="M31" s="96"/>
      <c r="N31" s="59">
        <f>+J31/H31</f>
        <v>0.67600000000000005</v>
      </c>
    </row>
    <row r="32" spans="1:16" s="70" customFormat="1" ht="14.25" x14ac:dyDescent="0.2">
      <c r="A32" s="68" t="s">
        <v>19</v>
      </c>
      <c r="B32" s="69">
        <v>331189</v>
      </c>
      <c r="C32" s="69">
        <v>452136</v>
      </c>
      <c r="D32" s="69">
        <f>SUM(D25,D20,D22,D13,D8,D3)</f>
        <v>360924</v>
      </c>
      <c r="E32" s="69">
        <f>SUM(E25,E20,E22,E13,E8,E3)</f>
        <v>342884</v>
      </c>
      <c r="F32" s="69">
        <f>SUM(F25,F20,F22,F13,F8,F3)</f>
        <v>18040</v>
      </c>
      <c r="G32" s="59">
        <f t="shared" si="1"/>
        <v>1.0897825712810509</v>
      </c>
      <c r="H32" s="69">
        <f>SUM(H25,H22,H20,H13,H8,H3)</f>
        <v>357525</v>
      </c>
      <c r="I32" s="69">
        <v>439979</v>
      </c>
      <c r="J32" s="69">
        <f>SUM(J25,J22,J20,J13,J8,J3)</f>
        <v>378138</v>
      </c>
      <c r="K32" s="69">
        <f>SUM(K25,K22,K20,K13,K8,K3)</f>
        <v>109388</v>
      </c>
      <c r="L32" s="69">
        <f>SUM(L25,L22,L20,L13,L8,L3)</f>
        <v>248747</v>
      </c>
      <c r="M32" s="69">
        <f>SUM(M25,M22,M20,M13,M8,M3)</f>
        <v>20003</v>
      </c>
      <c r="N32" s="86">
        <f>+J32/H32</f>
        <v>1.0576547094608768</v>
      </c>
    </row>
    <row r="33" spans="1:14" ht="15.75" x14ac:dyDescent="0.25">
      <c r="A33" s="157" t="s">
        <v>94</v>
      </c>
      <c r="B33" s="158"/>
      <c r="C33" s="158"/>
      <c r="D33" s="159"/>
      <c r="E33" s="160"/>
      <c r="F33" s="160"/>
      <c r="G33" s="161"/>
      <c r="H33" s="162"/>
      <c r="I33" s="162"/>
      <c r="J33" s="163"/>
      <c r="K33" s="162"/>
      <c r="L33" s="162"/>
      <c r="M33" s="162"/>
      <c r="N33" s="164"/>
    </row>
    <row r="34" spans="1:14" ht="15.75" thickBot="1" x14ac:dyDescent="0.3"/>
    <row r="35" spans="1:14" s="16" customFormat="1" ht="31.5" customHeight="1" thickBot="1" x14ac:dyDescent="0.3">
      <c r="A35" s="83" t="s">
        <v>59</v>
      </c>
      <c r="B35" s="12">
        <v>72909</v>
      </c>
      <c r="C35" s="151">
        <v>88645</v>
      </c>
      <c r="D35" s="84">
        <f>+E35+F35</f>
        <v>88051</v>
      </c>
      <c r="E35" s="12">
        <v>88051</v>
      </c>
      <c r="F35" s="12"/>
      <c r="G35" s="13">
        <f>+E35/B35</f>
        <v>1.2076835507276193</v>
      </c>
      <c r="H35" s="14">
        <v>72909</v>
      </c>
      <c r="I35" s="152">
        <v>88645</v>
      </c>
      <c r="J35" s="84">
        <f>+K35</f>
        <v>88051</v>
      </c>
      <c r="K35" s="12">
        <v>88051</v>
      </c>
      <c r="L35" s="12"/>
      <c r="M35" s="12"/>
      <c r="N35" s="13">
        <f>+J35/H35</f>
        <v>1.2076835507276193</v>
      </c>
    </row>
    <row r="36" spans="1:14" s="16" customFormat="1" ht="15.75" x14ac:dyDescent="0.25">
      <c r="A36" s="52"/>
      <c r="B36" s="82"/>
      <c r="C36" s="82"/>
      <c r="D36" s="18"/>
      <c r="E36" s="19"/>
      <c r="F36" s="19"/>
      <c r="G36" s="11"/>
      <c r="H36" s="87"/>
      <c r="I36" s="87"/>
      <c r="J36" s="87"/>
      <c r="K36" s="87"/>
      <c r="L36" s="87"/>
      <c r="M36" s="87"/>
      <c r="N36" s="11"/>
    </row>
    <row r="37" spans="1:14" s="16" customFormat="1" ht="16.5" thickBot="1" x14ac:dyDescent="0.3">
      <c r="A37" s="17"/>
      <c r="B37" s="21"/>
      <c r="C37" s="21"/>
      <c r="D37" s="22"/>
      <c r="E37" s="17"/>
      <c r="F37" s="17"/>
      <c r="G37" s="23"/>
      <c r="H37" s="88"/>
      <c r="I37" s="88"/>
      <c r="J37" s="89"/>
      <c r="K37" s="88"/>
      <c r="L37" s="88"/>
      <c r="M37" s="88"/>
      <c r="N37" s="11"/>
    </row>
    <row r="38" spans="1:14" s="16" customFormat="1" ht="15.75" x14ac:dyDescent="0.25">
      <c r="A38" s="174" t="s">
        <v>60</v>
      </c>
      <c r="B38" s="175"/>
      <c r="C38" s="175"/>
      <c r="D38" s="175"/>
      <c r="E38" s="176"/>
      <c r="F38" s="180">
        <f>+L39-J39</f>
        <v>0</v>
      </c>
      <c r="G38" s="33"/>
      <c r="H38" s="34"/>
      <c r="I38" s="34"/>
      <c r="J38" s="182" t="s">
        <v>57</v>
      </c>
      <c r="K38" s="182"/>
      <c r="L38" s="182" t="s">
        <v>58</v>
      </c>
      <c r="M38" s="183"/>
      <c r="N38" s="11"/>
    </row>
    <row r="39" spans="1:14" s="16" customFormat="1" ht="16.5" thickBot="1" x14ac:dyDescent="0.3">
      <c r="A39" s="177"/>
      <c r="B39" s="178"/>
      <c r="C39" s="178"/>
      <c r="D39" s="178"/>
      <c r="E39" s="179"/>
      <c r="F39" s="181"/>
      <c r="G39" s="35"/>
      <c r="H39" s="36"/>
      <c r="I39" s="145"/>
      <c r="J39" s="184">
        <f>+D32+'Polgárok közvetlen szolg.'!D29+D35</f>
        <v>879846</v>
      </c>
      <c r="K39" s="185"/>
      <c r="L39" s="186">
        <f>+J32+'Polgárok közvetlen szolg.'!J29+J35</f>
        <v>879846</v>
      </c>
      <c r="M39" s="187"/>
      <c r="N39" s="11"/>
    </row>
    <row r="40" spans="1:14" s="16" customFormat="1" ht="15.75" thickBot="1" x14ac:dyDescent="0.3">
      <c r="A40" s="24"/>
      <c r="B40" s="25"/>
      <c r="C40" s="25"/>
      <c r="D40" s="26"/>
      <c r="E40" s="24"/>
      <c r="F40" s="24"/>
      <c r="G40" s="24"/>
      <c r="H40" s="24"/>
      <c r="I40" s="24"/>
      <c r="J40" s="21"/>
      <c r="K40" s="24"/>
      <c r="L40" s="24"/>
      <c r="M40" s="24"/>
      <c r="N40" s="24"/>
    </row>
    <row r="41" spans="1:14" s="16" customFormat="1" ht="32.25" customHeight="1" thickBot="1" x14ac:dyDescent="0.3">
      <c r="A41" s="27" t="s">
        <v>61</v>
      </c>
      <c r="B41" s="28"/>
      <c r="C41" s="144"/>
      <c r="D41" s="29">
        <f>+L39-J39</f>
        <v>0</v>
      </c>
      <c r="E41" s="30"/>
      <c r="F41" s="12"/>
      <c r="G41" s="13"/>
      <c r="H41" s="14"/>
      <c r="I41" s="14"/>
      <c r="J41" s="15"/>
      <c r="K41" s="12"/>
      <c r="L41" s="12"/>
      <c r="M41" s="20"/>
      <c r="N41" s="11"/>
    </row>
    <row r="43" spans="1:14" x14ac:dyDescent="0.25">
      <c r="A43" s="136"/>
    </row>
    <row r="44" spans="1:14" x14ac:dyDescent="0.25">
      <c r="D44" s="137"/>
    </row>
  </sheetData>
  <mergeCells count="12">
    <mergeCell ref="A1:A2"/>
    <mergeCell ref="B1:G1"/>
    <mergeCell ref="E9:E10"/>
    <mergeCell ref="H1:N1"/>
    <mergeCell ref="B9:B10"/>
    <mergeCell ref="D9:D10"/>
    <mergeCell ref="A38:E39"/>
    <mergeCell ref="F38:F39"/>
    <mergeCell ref="J38:K38"/>
    <mergeCell ref="L38:M38"/>
    <mergeCell ref="J39:K39"/>
    <mergeCell ref="L39:M39"/>
  </mergeCells>
  <pageMargins left="0.70866141732283472" right="0.70866141732283472" top="0.74803149606299213" bottom="0.74803149606299213" header="0.31496062992125984" footer="0.31496062992125984"/>
  <pageSetup paperSize="8" scale="84" orientation="landscape" r:id="rId1"/>
  <headerFooter>
    <oddHeader>&amp;C&amp;"Times New Roman,Félkövér"&amp;12MARTONVÁSÁR VÁROS 2018. ÉVI KÖLTSÉGVETÉSI FELADATI(Költségek: E Ft-ban)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N22"/>
  <sheetViews>
    <sheetView zoomScale="90" zoomScaleNormal="90" workbookViewId="0">
      <selection activeCell="K17" sqref="K17:L17"/>
    </sheetView>
  </sheetViews>
  <sheetFormatPr defaultColWidth="9.140625" defaultRowHeight="15" x14ac:dyDescent="0.25"/>
  <cols>
    <col min="1" max="1" width="22.5703125" style="2" customWidth="1"/>
    <col min="2" max="3" width="14.85546875" style="2" customWidth="1"/>
    <col min="4" max="4" width="15.7109375" style="3" customWidth="1"/>
    <col min="5" max="5" width="15.140625" style="2" customWidth="1"/>
    <col min="6" max="6" width="11.7109375" style="2" customWidth="1"/>
    <col min="7" max="7" width="11.28515625" style="2" customWidth="1"/>
    <col min="8" max="9" width="13.140625" style="2" customWidth="1"/>
    <col min="10" max="10" width="16.28515625" style="3" bestFit="1" customWidth="1"/>
    <col min="11" max="11" width="12" style="2" customWidth="1"/>
    <col min="12" max="12" width="14.5703125" style="2" bestFit="1" customWidth="1"/>
    <col min="13" max="13" width="17.140625" style="2" customWidth="1"/>
    <col min="14" max="14" width="8.7109375" style="2" customWidth="1"/>
    <col min="15" max="16384" width="9.140625" style="2"/>
  </cols>
  <sheetData>
    <row r="1" spans="1:14" s="1" customFormat="1" ht="16.5" customHeight="1" x14ac:dyDescent="0.25">
      <c r="A1" s="217" t="s">
        <v>63</v>
      </c>
      <c r="B1" s="219" t="s">
        <v>90</v>
      </c>
      <c r="C1" s="215" t="s">
        <v>95</v>
      </c>
      <c r="D1" s="196" t="s">
        <v>87</v>
      </c>
      <c r="E1" s="198" t="s">
        <v>46</v>
      </c>
      <c r="F1" s="198"/>
      <c r="G1" s="199" t="s">
        <v>47</v>
      </c>
      <c r="H1" s="209" t="s">
        <v>91</v>
      </c>
      <c r="I1" s="215" t="s">
        <v>95</v>
      </c>
      <c r="J1" s="196" t="s">
        <v>88</v>
      </c>
      <c r="K1" s="198" t="s">
        <v>48</v>
      </c>
      <c r="L1" s="198"/>
      <c r="M1" s="198"/>
      <c r="N1" s="199" t="s">
        <v>47</v>
      </c>
    </row>
    <row r="2" spans="1:14" s="1" customFormat="1" ht="40.5" customHeight="1" thickBot="1" x14ac:dyDescent="0.3">
      <c r="A2" s="218"/>
      <c r="B2" s="220"/>
      <c r="C2" s="216"/>
      <c r="D2" s="197"/>
      <c r="E2" s="121" t="s">
        <v>49</v>
      </c>
      <c r="F2" s="121" t="s">
        <v>50</v>
      </c>
      <c r="G2" s="200"/>
      <c r="H2" s="210"/>
      <c r="I2" s="216"/>
      <c r="J2" s="197"/>
      <c r="K2" s="121" t="s">
        <v>30</v>
      </c>
      <c r="L2" s="121" t="s">
        <v>51</v>
      </c>
      <c r="M2" s="121" t="s">
        <v>0</v>
      </c>
      <c r="N2" s="200"/>
    </row>
    <row r="3" spans="1:14" s="1" customFormat="1" ht="30" x14ac:dyDescent="0.25">
      <c r="A3" s="114" t="s">
        <v>84</v>
      </c>
      <c r="B3" s="115">
        <v>151566</v>
      </c>
      <c r="C3" s="115">
        <v>152443</v>
      </c>
      <c r="D3" s="116">
        <f t="shared" ref="D3:D11" si="0">+E3+F3</f>
        <v>0</v>
      </c>
      <c r="E3" s="117"/>
      <c r="F3" s="117">
        <v>0</v>
      </c>
      <c r="G3" s="122">
        <f>+D3/B3</f>
        <v>0</v>
      </c>
      <c r="H3" s="123">
        <v>176070</v>
      </c>
      <c r="I3" s="146">
        <v>177070</v>
      </c>
      <c r="J3" s="118">
        <f>+K3+L3+M3</f>
        <v>0</v>
      </c>
      <c r="K3" s="119">
        <v>0</v>
      </c>
      <c r="L3" s="117"/>
      <c r="M3" s="117"/>
      <c r="N3" s="120"/>
    </row>
    <row r="4" spans="1:14" s="1" customFormat="1" ht="15.75" x14ac:dyDescent="0.25">
      <c r="A4" s="111" t="s">
        <v>75</v>
      </c>
      <c r="B4" s="109">
        <v>1349709</v>
      </c>
      <c r="C4" s="109">
        <v>1552554</v>
      </c>
      <c r="D4" s="104">
        <f>E4+F4</f>
        <v>892434</v>
      </c>
      <c r="E4" s="105">
        <f>879336+13098</f>
        <v>892434</v>
      </c>
      <c r="F4" s="105"/>
      <c r="G4" s="122"/>
      <c r="H4" s="124">
        <v>1349709</v>
      </c>
      <c r="I4" s="147">
        <v>1543173</v>
      </c>
      <c r="J4" s="85">
        <f>+K4+L4+M4</f>
        <v>815774</v>
      </c>
      <c r="K4" s="108"/>
      <c r="L4" s="105">
        <v>667126</v>
      </c>
      <c r="M4" s="105">
        <v>148648</v>
      </c>
      <c r="N4" s="31"/>
    </row>
    <row r="5" spans="1:14" s="1" customFormat="1" ht="15.75" x14ac:dyDescent="0.25">
      <c r="A5" s="111" t="s">
        <v>82</v>
      </c>
      <c r="B5" s="109">
        <v>11262</v>
      </c>
      <c r="C5" s="109">
        <v>11262</v>
      </c>
      <c r="D5" s="104">
        <f t="shared" si="0"/>
        <v>0</v>
      </c>
      <c r="E5" s="105"/>
      <c r="F5" s="105"/>
      <c r="G5" s="122">
        <f t="shared" ref="G5:G11" si="1">+D5/B5</f>
        <v>0</v>
      </c>
      <c r="H5" s="124">
        <v>0</v>
      </c>
      <c r="I5" s="147">
        <v>0</v>
      </c>
      <c r="J5" s="85">
        <f t="shared" ref="J5:J11" si="2">+K5+L5+M5</f>
        <v>0</v>
      </c>
      <c r="K5" s="108">
        <v>0</v>
      </c>
      <c r="L5" s="105"/>
      <c r="M5" s="105"/>
      <c r="N5" s="31"/>
    </row>
    <row r="6" spans="1:14" ht="30" x14ac:dyDescent="0.25">
      <c r="A6" s="111" t="s">
        <v>52</v>
      </c>
      <c r="B6" s="105">
        <v>69863</v>
      </c>
      <c r="C6" s="105">
        <v>69566</v>
      </c>
      <c r="D6" s="104">
        <f t="shared" si="0"/>
        <v>92508</v>
      </c>
      <c r="E6" s="105">
        <f>91926+582</f>
        <v>92508</v>
      </c>
      <c r="F6" s="106">
        <v>0</v>
      </c>
      <c r="G6" s="122">
        <f t="shared" si="1"/>
        <v>1.3241343772812504</v>
      </c>
      <c r="H6" s="125">
        <v>69863</v>
      </c>
      <c r="I6" s="148">
        <v>69863</v>
      </c>
      <c r="J6" s="85">
        <f t="shared" si="2"/>
        <v>82680</v>
      </c>
      <c r="K6" s="106"/>
      <c r="L6" s="105">
        <v>70778</v>
      </c>
      <c r="M6" s="105">
        <f>16305-4403</f>
        <v>11902</v>
      </c>
      <c r="N6" s="90">
        <f>+J6/H6</f>
        <v>1.1834590555802069</v>
      </c>
    </row>
    <row r="7" spans="1:14" ht="15.75" x14ac:dyDescent="0.25">
      <c r="A7" s="112" t="s">
        <v>53</v>
      </c>
      <c r="B7" s="105">
        <v>13605</v>
      </c>
      <c r="C7" s="105">
        <v>25451</v>
      </c>
      <c r="D7" s="104">
        <f t="shared" si="0"/>
        <v>0</v>
      </c>
      <c r="E7" s="106"/>
      <c r="F7" s="106">
        <v>0</v>
      </c>
      <c r="G7" s="122">
        <f t="shared" si="1"/>
        <v>0</v>
      </c>
      <c r="H7" s="125">
        <v>13605</v>
      </c>
      <c r="I7" s="148">
        <v>25451</v>
      </c>
      <c r="J7" s="85">
        <f t="shared" si="2"/>
        <v>0</v>
      </c>
      <c r="K7" s="106"/>
      <c r="L7" s="105"/>
      <c r="M7" s="105"/>
      <c r="N7" s="90"/>
    </row>
    <row r="8" spans="1:14" ht="15.75" x14ac:dyDescent="0.25">
      <c r="A8" s="112" t="s">
        <v>54</v>
      </c>
      <c r="B8" s="105">
        <v>0</v>
      </c>
      <c r="C8" s="105">
        <v>0</v>
      </c>
      <c r="D8" s="104">
        <f t="shared" si="0"/>
        <v>19500</v>
      </c>
      <c r="E8" s="106">
        <v>19500</v>
      </c>
      <c r="F8" s="106">
        <v>0</v>
      </c>
      <c r="G8" s="122"/>
      <c r="H8" s="125">
        <v>0</v>
      </c>
      <c r="I8" s="148">
        <v>0</v>
      </c>
      <c r="J8" s="85">
        <f t="shared" si="2"/>
        <v>19500</v>
      </c>
      <c r="K8" s="106"/>
      <c r="L8" s="105">
        <v>19500</v>
      </c>
      <c r="M8" s="105"/>
      <c r="N8" s="90"/>
    </row>
    <row r="9" spans="1:14" ht="15.75" x14ac:dyDescent="0.25">
      <c r="A9" s="112" t="s">
        <v>85</v>
      </c>
      <c r="B9" s="105">
        <v>1050</v>
      </c>
      <c r="C9" s="105">
        <v>1050</v>
      </c>
      <c r="D9" s="104">
        <f t="shared" si="0"/>
        <v>2340</v>
      </c>
      <c r="E9" s="106">
        <v>2340</v>
      </c>
      <c r="F9" s="106"/>
      <c r="G9" s="122"/>
      <c r="H9" s="125">
        <v>1050</v>
      </c>
      <c r="I9" s="148">
        <v>1050</v>
      </c>
      <c r="J9" s="85">
        <f t="shared" si="2"/>
        <v>2340</v>
      </c>
      <c r="K9" s="106"/>
      <c r="L9" s="105">
        <v>2340</v>
      </c>
      <c r="M9" s="105"/>
      <c r="N9" s="90"/>
    </row>
    <row r="10" spans="1:14" ht="25.5" x14ac:dyDescent="0.25">
      <c r="A10" s="112" t="s">
        <v>92</v>
      </c>
      <c r="B10" s="105">
        <v>0</v>
      </c>
      <c r="C10" s="105">
        <v>850000</v>
      </c>
      <c r="D10" s="104">
        <f t="shared" si="0"/>
        <v>0</v>
      </c>
      <c r="E10" s="106"/>
      <c r="F10" s="106">
        <v>0</v>
      </c>
      <c r="G10" s="122"/>
      <c r="H10" s="125">
        <v>0</v>
      </c>
      <c r="I10" s="148">
        <v>850000</v>
      </c>
      <c r="J10" s="85">
        <f t="shared" si="2"/>
        <v>117500</v>
      </c>
      <c r="K10" s="106"/>
      <c r="L10" s="105">
        <f>117500</f>
        <v>117500</v>
      </c>
      <c r="M10" s="105"/>
      <c r="N10" s="90"/>
    </row>
    <row r="11" spans="1:14" ht="15.75" x14ac:dyDescent="0.25">
      <c r="A11" s="112" t="s">
        <v>62</v>
      </c>
      <c r="B11" s="105">
        <v>599880</v>
      </c>
      <c r="C11" s="105">
        <v>599880</v>
      </c>
      <c r="D11" s="104">
        <f t="shared" si="0"/>
        <v>773010</v>
      </c>
      <c r="E11" s="106">
        <v>773010</v>
      </c>
      <c r="F11" s="106">
        <v>0</v>
      </c>
      <c r="G11" s="122">
        <f t="shared" si="1"/>
        <v>1.2886077215443088</v>
      </c>
      <c r="H11" s="125">
        <v>602148</v>
      </c>
      <c r="I11" s="148">
        <v>611592</v>
      </c>
      <c r="J11" s="85">
        <f t="shared" si="2"/>
        <v>741998</v>
      </c>
      <c r="K11" s="106"/>
      <c r="L11" s="105">
        <f>341998+400000</f>
        <v>741998</v>
      </c>
      <c r="M11" s="105"/>
      <c r="N11" s="90">
        <f>+J11/H11</f>
        <v>1.2322518716328876</v>
      </c>
    </row>
    <row r="12" spans="1:14" s="3" customFormat="1" ht="15.75" x14ac:dyDescent="0.2">
      <c r="A12" s="113" t="s">
        <v>19</v>
      </c>
      <c r="B12" s="110">
        <f>SUM(B3:B11)</f>
        <v>2196935</v>
      </c>
      <c r="C12" s="110">
        <f>SUM(C3:C11)</f>
        <v>3262206</v>
      </c>
      <c r="D12" s="110">
        <f>SUM(D3:D11)</f>
        <v>1779792</v>
      </c>
      <c r="E12" s="110">
        <f>SUM(E3:E11)</f>
        <v>1779792</v>
      </c>
      <c r="F12" s="107">
        <f>SUM(F3:F11)</f>
        <v>0</v>
      </c>
      <c r="G12" s="91">
        <f>+D12/B12</f>
        <v>0.81012501507782431</v>
      </c>
      <c r="H12" s="126">
        <f t="shared" ref="H12:M12" si="3">SUM(H3:H11)</f>
        <v>2212445</v>
      </c>
      <c r="I12" s="149">
        <f t="shared" si="3"/>
        <v>3278199</v>
      </c>
      <c r="J12" s="107">
        <f t="shared" si="3"/>
        <v>1779792</v>
      </c>
      <c r="K12" s="107">
        <f t="shared" si="3"/>
        <v>0</v>
      </c>
      <c r="L12" s="107">
        <f t="shared" si="3"/>
        <v>1619242</v>
      </c>
      <c r="M12" s="107">
        <f t="shared" si="3"/>
        <v>160550</v>
      </c>
      <c r="N12" s="32">
        <f>+J12/H12</f>
        <v>0.80444576023358771</v>
      </c>
    </row>
    <row r="13" spans="1:14" ht="26.25" thickBot="1" x14ac:dyDescent="0.3">
      <c r="A13" s="127" t="s">
        <v>55</v>
      </c>
      <c r="B13" s="128"/>
      <c r="C13" s="128"/>
      <c r="D13" s="129"/>
      <c r="E13" s="130"/>
      <c r="F13" s="130"/>
      <c r="G13" s="131"/>
      <c r="H13" s="132"/>
      <c r="I13" s="150"/>
      <c r="J13" s="130">
        <f>+'Városigazgatás-Közösségszerv.'!D41</f>
        <v>0</v>
      </c>
      <c r="K13" s="133"/>
      <c r="L13" s="133"/>
      <c r="M13" s="133"/>
      <c r="N13" s="134"/>
    </row>
    <row r="14" spans="1:14" s="3" customFormat="1" ht="16.5" thickBot="1" x14ac:dyDescent="0.25">
      <c r="A14" s="135" t="s">
        <v>20</v>
      </c>
      <c r="B14" s="211">
        <f>+D12</f>
        <v>1779792</v>
      </c>
      <c r="C14" s="212"/>
      <c r="D14" s="212"/>
      <c r="E14" s="212"/>
      <c r="F14" s="212"/>
      <c r="G14" s="213"/>
      <c r="H14" s="214">
        <f>+J12+J13</f>
        <v>1779792</v>
      </c>
      <c r="I14" s="212"/>
      <c r="J14" s="212"/>
      <c r="K14" s="212"/>
      <c r="L14" s="212"/>
      <c r="M14" s="212"/>
      <c r="N14" s="213"/>
    </row>
    <row r="15" spans="1:14" s="3" customFormat="1" ht="16.5" thickBot="1" x14ac:dyDescent="0.25">
      <c r="A15" s="4"/>
      <c r="B15" s="4"/>
      <c r="C15" s="4"/>
      <c r="D15" s="5"/>
      <c r="E15" s="5"/>
      <c r="F15" s="5"/>
      <c r="G15" s="92"/>
      <c r="H15" s="6"/>
      <c r="I15" s="6"/>
      <c r="J15" s="5"/>
      <c r="K15" s="5"/>
      <c r="L15" s="5"/>
      <c r="M15" s="5"/>
      <c r="N15" s="5"/>
    </row>
    <row r="16" spans="1:14" s="7" customFormat="1" ht="15.75" x14ac:dyDescent="0.25">
      <c r="D16" s="201">
        <f>+M17-K17</f>
        <v>0</v>
      </c>
      <c r="E16" s="203" t="s">
        <v>56</v>
      </c>
      <c r="F16" s="204"/>
      <c r="G16" s="93"/>
      <c r="H16" s="8"/>
      <c r="I16" s="8"/>
      <c r="J16" s="9"/>
      <c r="K16" s="207" t="s">
        <v>57</v>
      </c>
      <c r="L16" s="203"/>
      <c r="M16" s="203" t="s">
        <v>58</v>
      </c>
      <c r="N16" s="204"/>
    </row>
    <row r="17" spans="4:14" s="7" customFormat="1" ht="16.5" thickBot="1" x14ac:dyDescent="0.3">
      <c r="D17" s="202"/>
      <c r="E17" s="205"/>
      <c r="F17" s="206"/>
      <c r="G17" s="93"/>
      <c r="H17" s="8"/>
      <c r="I17" s="8"/>
      <c r="J17" s="9"/>
      <c r="K17" s="208">
        <f>+B14+'Városigazgatás-Közösségszerv.'!D32+'Városigazgatás-Közösségszerv.'!D35+'Polgárok közvetlen szolg.'!D29</f>
        <v>2659638</v>
      </c>
      <c r="L17" s="194"/>
      <c r="M17" s="194">
        <f>+J12+'Városigazgatás-Közösségszerv.'!J35+'Városigazgatás-Közösségszerv.'!J32+'Polgárok közvetlen szolg.'!J29</f>
        <v>2659638</v>
      </c>
      <c r="N17" s="195"/>
    </row>
    <row r="18" spans="4:14" s="7" customFormat="1" ht="15.75" x14ac:dyDescent="0.25">
      <c r="D18" s="9"/>
      <c r="G18" s="2"/>
      <c r="J18" s="9"/>
    </row>
    <row r="19" spans="4:14" x14ac:dyDescent="0.25">
      <c r="L19" s="10"/>
    </row>
    <row r="20" spans="4:14" x14ac:dyDescent="0.25">
      <c r="K20" s="10"/>
      <c r="L20" s="10"/>
      <c r="M20" s="10"/>
    </row>
    <row r="22" spans="4:14" x14ac:dyDescent="0.25">
      <c r="L22" s="10"/>
    </row>
  </sheetData>
  <mergeCells count="19">
    <mergeCell ref="A1:A2"/>
    <mergeCell ref="B1:B2"/>
    <mergeCell ref="D1:D2"/>
    <mergeCell ref="E1:F1"/>
    <mergeCell ref="G1:G2"/>
    <mergeCell ref="M17:N17"/>
    <mergeCell ref="J1:J2"/>
    <mergeCell ref="K1:M1"/>
    <mergeCell ref="N1:N2"/>
    <mergeCell ref="D16:D17"/>
    <mergeCell ref="E16:F17"/>
    <mergeCell ref="K16:L16"/>
    <mergeCell ref="M16:N16"/>
    <mergeCell ref="K17:L17"/>
    <mergeCell ref="H1:H2"/>
    <mergeCell ref="B14:G14"/>
    <mergeCell ref="H14:N14"/>
    <mergeCell ref="I1:I2"/>
    <mergeCell ref="C1:C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&amp;C&amp;"Times New Roman,Félkövér"&amp;12MARTONVÁSÁR VÁROS 2018. ÉVI KÖLTSÉGVETÉSI FELADATI(Költségek: E Ft-ban)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Polgárok közvetlen szolg.</vt:lpstr>
      <vt:lpstr>Városigazgatás-Közösségszerv.</vt:lpstr>
      <vt:lpstr>Felhalmozási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2019-01-23T09:22:16Z</dcterms:modified>
</cp:coreProperties>
</file>