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2\KT\20220628\"/>
    </mc:Choice>
  </mc:AlternateContent>
  <bookViews>
    <workbookView xWindow="0" yWindow="0" windowWidth="28800" windowHeight="11835"/>
  </bookViews>
  <sheets>
    <sheet name="Kiadások" sheetId="1" r:id="rId1"/>
    <sheet name="Bevétel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18" i="1" l="1"/>
  <c r="G88" i="1"/>
  <c r="G97" i="1"/>
  <c r="G169" i="1"/>
  <c r="G77" i="1"/>
  <c r="H188" i="1"/>
  <c r="I183" i="1"/>
  <c r="G93" i="2"/>
  <c r="G117" i="2"/>
  <c r="G107" i="2" l="1"/>
  <c r="G95" i="2"/>
  <c r="G94" i="2" l="1"/>
  <c r="G116" i="2"/>
  <c r="F74" i="2" l="1"/>
  <c r="F72" i="2"/>
  <c r="F71" i="2"/>
  <c r="F70" i="2"/>
  <c r="F63" i="2" s="1"/>
  <c r="F55" i="2"/>
  <c r="F53" i="2"/>
  <c r="F52" i="2"/>
  <c r="F43" i="2" s="1"/>
  <c r="F48" i="2"/>
  <c r="F46" i="2"/>
  <c r="F34" i="2"/>
  <c r="F26" i="2"/>
  <c r="F25" i="2"/>
  <c r="F24" i="2"/>
  <c r="F23" i="2"/>
  <c r="F19" i="2" s="1"/>
  <c r="F21" i="2"/>
  <c r="F20" i="2"/>
  <c r="F18" i="2"/>
  <c r="F16" i="2" s="1"/>
  <c r="F17" i="2"/>
  <c r="F10" i="2"/>
  <c r="F9" i="2"/>
  <c r="F6" i="2" s="1"/>
  <c r="F5" i="2" s="1"/>
  <c r="F7" i="2"/>
  <c r="H153" i="1"/>
  <c r="J153" i="1" s="1"/>
  <c r="H154" i="1"/>
  <c r="J154" i="1" s="1"/>
  <c r="F102" i="1"/>
  <c r="F99" i="1"/>
  <c r="F98" i="1" s="1"/>
  <c r="F93" i="1"/>
  <c r="F86" i="1"/>
  <c r="F85" i="1"/>
  <c r="F79" i="1"/>
  <c r="F76" i="1"/>
  <c r="F71" i="1"/>
  <c r="F70" i="1"/>
  <c r="F69" i="1"/>
  <c r="F68" i="1"/>
  <c r="F67" i="1"/>
  <c r="F65" i="1"/>
  <c r="F50" i="1"/>
  <c r="F45" i="1"/>
  <c r="F37" i="1"/>
  <c r="F35" i="1"/>
  <c r="F33" i="1"/>
  <c r="F28" i="1"/>
  <c r="F27" i="1"/>
  <c r="F26" i="1" s="1"/>
  <c r="F25" i="1" s="1"/>
  <c r="F19" i="1"/>
  <c r="F18" i="1"/>
  <c r="F15" i="1"/>
  <c r="F12" i="1"/>
  <c r="F6" i="1"/>
  <c r="F5" i="1" s="1"/>
  <c r="E115" i="2" l="1"/>
  <c r="D115" i="2"/>
  <c r="C115" i="2"/>
  <c r="C107" i="2"/>
  <c r="E103" i="2"/>
  <c r="D103" i="2"/>
  <c r="C103" i="2"/>
  <c r="E95" i="2"/>
  <c r="E94" i="2"/>
  <c r="E91" i="2" s="1"/>
  <c r="E97" i="2" s="1"/>
  <c r="C93" i="2"/>
  <c r="D91" i="2"/>
  <c r="D97" i="2" s="1"/>
  <c r="C91" i="2"/>
  <c r="C97" i="2" s="1"/>
  <c r="C72" i="2"/>
  <c r="E70" i="2"/>
  <c r="D70" i="2"/>
  <c r="D63" i="2" s="1"/>
  <c r="C70" i="2"/>
  <c r="C69" i="2"/>
  <c r="E63" i="2"/>
  <c r="C63" i="2"/>
  <c r="C56" i="2"/>
  <c r="E55" i="2"/>
  <c r="D55" i="2"/>
  <c r="C55" i="2"/>
  <c r="E54" i="2"/>
  <c r="E53" i="2"/>
  <c r="C53" i="2"/>
  <c r="C52" i="2" s="1"/>
  <c r="C43" i="2" s="1"/>
  <c r="E52" i="2"/>
  <c r="E43" i="2" s="1"/>
  <c r="D52" i="2"/>
  <c r="E48" i="2"/>
  <c r="D48" i="2"/>
  <c r="C48" i="2"/>
  <c r="E46" i="2"/>
  <c r="D43" i="2"/>
  <c r="E34" i="2"/>
  <c r="D34" i="2"/>
  <c r="C34" i="2"/>
  <c r="E23" i="2"/>
  <c r="D23" i="2"/>
  <c r="C23" i="2"/>
  <c r="C19" i="2" s="1"/>
  <c r="E19" i="2"/>
  <c r="D19" i="2"/>
  <c r="E16" i="2"/>
  <c r="D16" i="2"/>
  <c r="C16" i="2"/>
  <c r="E10" i="2"/>
  <c r="D10" i="2"/>
  <c r="C10" i="2"/>
  <c r="C9" i="2"/>
  <c r="E6" i="2"/>
  <c r="E5" i="2" s="1"/>
  <c r="D6" i="2"/>
  <c r="D5" i="2" s="1"/>
  <c r="C6" i="2"/>
  <c r="C5" i="2" s="1"/>
  <c r="E172" i="1"/>
  <c r="D172" i="1"/>
  <c r="C172" i="1"/>
  <c r="E171" i="1"/>
  <c r="E170" i="1"/>
  <c r="E169" i="1"/>
  <c r="E168" i="1" s="1"/>
  <c r="D168" i="1"/>
  <c r="C168" i="1"/>
  <c r="C158" i="1"/>
  <c r="C157" i="1" s="1"/>
  <c r="E157" i="1"/>
  <c r="D157" i="1"/>
  <c r="E150" i="1"/>
  <c r="E161" i="1" s="1"/>
  <c r="D150" i="1"/>
  <c r="D161" i="1" s="1"/>
  <c r="C150" i="1"/>
  <c r="E142" i="1"/>
  <c r="E140" i="1"/>
  <c r="E137" i="1"/>
  <c r="E136" i="1" s="1"/>
  <c r="E144" i="1" s="1"/>
  <c r="D137" i="1"/>
  <c r="D136" i="1" s="1"/>
  <c r="D144" i="1" s="1"/>
  <c r="C137" i="1"/>
  <c r="C136" i="1"/>
  <c r="C144" i="1" s="1"/>
  <c r="E111" i="1"/>
  <c r="D111" i="1"/>
  <c r="C111" i="1"/>
  <c r="E102" i="1"/>
  <c r="D102" i="1"/>
  <c r="C102" i="1"/>
  <c r="E99" i="1"/>
  <c r="E98" i="1" s="1"/>
  <c r="D99" i="1"/>
  <c r="C99" i="1"/>
  <c r="D98" i="1"/>
  <c r="C98" i="1"/>
  <c r="E96" i="1"/>
  <c r="C96" i="1"/>
  <c r="E95" i="1"/>
  <c r="E93" i="1" s="1"/>
  <c r="E94" i="1"/>
  <c r="D93" i="1"/>
  <c r="C93" i="1"/>
  <c r="C91" i="1"/>
  <c r="C90" i="1"/>
  <c r="C86" i="1" s="1"/>
  <c r="C85" i="1" s="1"/>
  <c r="C89" i="1"/>
  <c r="E88" i="1"/>
  <c r="E86" i="1" s="1"/>
  <c r="D86" i="1"/>
  <c r="D85" i="1" s="1"/>
  <c r="E76" i="1"/>
  <c r="D76" i="1"/>
  <c r="C76" i="1"/>
  <c r="E71" i="1"/>
  <c r="E70" i="1" s="1"/>
  <c r="D71" i="1"/>
  <c r="C71" i="1"/>
  <c r="C70" i="1" s="1"/>
  <c r="D70" i="1"/>
  <c r="E69" i="1"/>
  <c r="E65" i="1"/>
  <c r="D65" i="1"/>
  <c r="C65" i="1"/>
  <c r="C58" i="1"/>
  <c r="E56" i="1"/>
  <c r="D56" i="1"/>
  <c r="C56" i="1"/>
  <c r="E45" i="1"/>
  <c r="D45" i="1"/>
  <c r="C45" i="1"/>
  <c r="E37" i="1"/>
  <c r="D37" i="1"/>
  <c r="C37" i="1"/>
  <c r="E35" i="1"/>
  <c r="E33" i="1" s="1"/>
  <c r="D33" i="1"/>
  <c r="C33" i="1"/>
  <c r="E26" i="1"/>
  <c r="D26" i="1"/>
  <c r="C26" i="1"/>
  <c r="D25" i="1"/>
  <c r="C25" i="1"/>
  <c r="C19" i="1"/>
  <c r="E18" i="1"/>
  <c r="E15" i="1" s="1"/>
  <c r="C18" i="1"/>
  <c r="D15" i="1"/>
  <c r="C15" i="1"/>
  <c r="E12" i="1"/>
  <c r="D12" i="1"/>
  <c r="C12" i="1"/>
  <c r="E6" i="1"/>
  <c r="E5" i="1" s="1"/>
  <c r="D6" i="1"/>
  <c r="C6" i="1"/>
  <c r="D5" i="1"/>
  <c r="C5" i="1"/>
  <c r="C161" i="1" l="1"/>
  <c r="E85" i="1"/>
  <c r="E25" i="1"/>
  <c r="H52" i="1" l="1"/>
  <c r="H53" i="1"/>
  <c r="H183" i="1" l="1"/>
  <c r="H104" i="2" l="1"/>
  <c r="I104" i="2" l="1"/>
  <c r="H28" i="2" l="1"/>
  <c r="H55" i="1" l="1"/>
  <c r="H88" i="1" l="1"/>
  <c r="H57" i="2"/>
  <c r="I57" i="2" l="1"/>
  <c r="H160" i="1"/>
  <c r="H184" i="1" l="1"/>
  <c r="H94" i="2"/>
  <c r="H95" i="2"/>
  <c r="I95" i="2" s="1"/>
  <c r="G91" i="2"/>
  <c r="I94" i="2" l="1"/>
  <c r="H117" i="2" l="1"/>
  <c r="H116" i="2"/>
  <c r="H106" i="2"/>
  <c r="I106" i="2" s="1"/>
  <c r="H107" i="2"/>
  <c r="H105" i="2"/>
  <c r="H93" i="2"/>
  <c r="H74" i="2"/>
  <c r="H73" i="2"/>
  <c r="J73" i="2" s="1"/>
  <c r="H72" i="2"/>
  <c r="J72" i="2" s="1"/>
  <c r="H71" i="2"/>
  <c r="J71" i="2" s="1"/>
  <c r="H69" i="2"/>
  <c r="J69" i="2" s="1"/>
  <c r="H68" i="2"/>
  <c r="I68" i="2" s="1"/>
  <c r="H67" i="2"/>
  <c r="I67" i="2" s="1"/>
  <c r="H66" i="2"/>
  <c r="I66" i="2" s="1"/>
  <c r="H65" i="2"/>
  <c r="H64" i="2"/>
  <c r="H56" i="2"/>
  <c r="J56" i="2" s="1"/>
  <c r="H54" i="2"/>
  <c r="J54" i="2" s="1"/>
  <c r="H53" i="2"/>
  <c r="J53" i="2" s="1"/>
  <c r="H51" i="2"/>
  <c r="J51" i="2" s="1"/>
  <c r="H50" i="2"/>
  <c r="J50" i="2" s="1"/>
  <c r="H49" i="2"/>
  <c r="J49" i="2" s="1"/>
  <c r="H47" i="2"/>
  <c r="H46" i="2"/>
  <c r="J46" i="2" s="1"/>
  <c r="H45" i="2"/>
  <c r="J45" i="2" s="1"/>
  <c r="H44" i="2"/>
  <c r="J44" i="2" s="1"/>
  <c r="H41" i="2"/>
  <c r="J41" i="2" s="1"/>
  <c r="H40" i="2"/>
  <c r="J40" i="2" s="1"/>
  <c r="H39" i="2"/>
  <c r="H38" i="2"/>
  <c r="H37" i="2"/>
  <c r="J37" i="2" s="1"/>
  <c r="H36" i="2"/>
  <c r="H35" i="2"/>
  <c r="J35" i="2" s="1"/>
  <c r="H27" i="2"/>
  <c r="J27" i="2" s="1"/>
  <c r="H26" i="2"/>
  <c r="J26" i="2" s="1"/>
  <c r="H25" i="2"/>
  <c r="J25" i="2" s="1"/>
  <c r="H24" i="2"/>
  <c r="J24" i="2" s="1"/>
  <c r="H22" i="2"/>
  <c r="J22" i="2" s="1"/>
  <c r="H21" i="2"/>
  <c r="J21" i="2" s="1"/>
  <c r="H20" i="2"/>
  <c r="J20" i="2" s="1"/>
  <c r="H18" i="2"/>
  <c r="J18" i="2" s="1"/>
  <c r="H17" i="2"/>
  <c r="J17" i="2" s="1"/>
  <c r="H15" i="2"/>
  <c r="H14" i="2"/>
  <c r="J14" i="2" s="1"/>
  <c r="H13" i="2"/>
  <c r="J13" i="2" s="1"/>
  <c r="H12" i="2"/>
  <c r="J12" i="2" s="1"/>
  <c r="H11" i="2"/>
  <c r="J11" i="2" s="1"/>
  <c r="H9" i="2"/>
  <c r="J9" i="2" s="1"/>
  <c r="H8" i="2"/>
  <c r="H7" i="2"/>
  <c r="J7" i="2" s="1"/>
  <c r="G172" i="1"/>
  <c r="H189" i="1"/>
  <c r="H187" i="1"/>
  <c r="H186" i="1"/>
  <c r="H185" i="1"/>
  <c r="H182" i="1"/>
  <c r="H181" i="1"/>
  <c r="H180" i="1"/>
  <c r="H179" i="1"/>
  <c r="H178" i="1"/>
  <c r="H177" i="1"/>
  <c r="H176" i="1"/>
  <c r="H175" i="1"/>
  <c r="H174" i="1"/>
  <c r="H173" i="1"/>
  <c r="H171" i="1"/>
  <c r="H170" i="1"/>
  <c r="H169" i="1"/>
  <c r="H159" i="1"/>
  <c r="H156" i="1"/>
  <c r="H155" i="1"/>
  <c r="J155" i="1" s="1"/>
  <c r="H152" i="1"/>
  <c r="J152" i="1" s="1"/>
  <c r="H151" i="1"/>
  <c r="J151" i="1" s="1"/>
  <c r="G137" i="1"/>
  <c r="H142" i="1"/>
  <c r="J142" i="1" s="1"/>
  <c r="H141" i="1"/>
  <c r="H140" i="1"/>
  <c r="H139" i="1"/>
  <c r="H138" i="1"/>
  <c r="H113" i="1"/>
  <c r="J113" i="1" s="1"/>
  <c r="H112" i="1"/>
  <c r="J112" i="1" s="1"/>
  <c r="H104" i="1"/>
  <c r="H103" i="1"/>
  <c r="H101" i="1"/>
  <c r="H100" i="1"/>
  <c r="H97" i="1"/>
  <c r="J97" i="1" s="1"/>
  <c r="H95" i="1"/>
  <c r="H94" i="1"/>
  <c r="J94" i="1" s="1"/>
  <c r="H92" i="1"/>
  <c r="H87" i="1"/>
  <c r="J87" i="1" s="1"/>
  <c r="H79" i="1"/>
  <c r="J79" i="1" s="1"/>
  <c r="H78" i="1"/>
  <c r="J78" i="1" s="1"/>
  <c r="H77" i="1"/>
  <c r="J77" i="1" s="1"/>
  <c r="H75" i="1"/>
  <c r="H74" i="1"/>
  <c r="H73" i="1"/>
  <c r="J73" i="1" s="1"/>
  <c r="H72" i="1"/>
  <c r="J72" i="1" s="1"/>
  <c r="H69" i="1"/>
  <c r="J69" i="1" s="1"/>
  <c r="H68" i="1"/>
  <c r="H67" i="1"/>
  <c r="J67" i="1" s="1"/>
  <c r="H66" i="1"/>
  <c r="J66" i="1" s="1"/>
  <c r="H57" i="1"/>
  <c r="J57" i="1" s="1"/>
  <c r="H59" i="1"/>
  <c r="H54" i="1"/>
  <c r="H51" i="1"/>
  <c r="J51" i="1" s="1"/>
  <c r="H50" i="1"/>
  <c r="H49" i="1"/>
  <c r="J49" i="1" s="1"/>
  <c r="H48" i="1"/>
  <c r="J48" i="1" s="1"/>
  <c r="H47" i="1"/>
  <c r="H46" i="1"/>
  <c r="J46" i="1" s="1"/>
  <c r="H38" i="1"/>
  <c r="H36" i="1"/>
  <c r="J36" i="1" s="1"/>
  <c r="H35" i="1"/>
  <c r="J35" i="1" s="1"/>
  <c r="H34" i="1"/>
  <c r="J34" i="1" s="1"/>
  <c r="H32" i="1"/>
  <c r="H31" i="1"/>
  <c r="J31" i="1" s="1"/>
  <c r="H30" i="1"/>
  <c r="J30" i="1" s="1"/>
  <c r="H29" i="1"/>
  <c r="J29" i="1" s="1"/>
  <c r="H28" i="1"/>
  <c r="J28" i="1" s="1"/>
  <c r="H27" i="1"/>
  <c r="J27" i="1" s="1"/>
  <c r="H17" i="1"/>
  <c r="H16" i="1"/>
  <c r="H14" i="1"/>
  <c r="J14" i="1" s="1"/>
  <c r="H13" i="1"/>
  <c r="H8" i="1"/>
  <c r="J8" i="1" s="1"/>
  <c r="H9" i="1"/>
  <c r="J9" i="1" s="1"/>
  <c r="H10" i="1"/>
  <c r="J10" i="1" s="1"/>
  <c r="H11" i="1"/>
  <c r="H7" i="1"/>
  <c r="J7" i="1" s="1"/>
  <c r="J117" i="2" l="1"/>
  <c r="I117" i="2"/>
  <c r="I93" i="2"/>
  <c r="J74" i="2"/>
  <c r="I74" i="2"/>
  <c r="I59" i="1"/>
  <c r="J59" i="1"/>
  <c r="I38" i="1"/>
  <c r="I182" i="1"/>
  <c r="I74" i="1"/>
  <c r="J74" i="1"/>
  <c r="I179" i="1"/>
  <c r="I50" i="1"/>
  <c r="J50" i="1"/>
  <c r="I104" i="1"/>
  <c r="J104" i="1"/>
  <c r="I178" i="1"/>
  <c r="I68" i="1"/>
  <c r="J68" i="1"/>
  <c r="I170" i="1"/>
  <c r="I47" i="1"/>
  <c r="J47" i="1"/>
  <c r="I92" i="1"/>
  <c r="J92" i="1"/>
  <c r="I177" i="1"/>
  <c r="J187" i="1"/>
  <c r="I187" i="1"/>
  <c r="J105" i="2"/>
  <c r="I105" i="2"/>
  <c r="I171" i="1"/>
  <c r="I181" i="1"/>
  <c r="I176" i="1"/>
  <c r="I173" i="1"/>
  <c r="I13" i="1"/>
  <c r="J13" i="1"/>
  <c r="I175" i="1"/>
  <c r="I116" i="2"/>
  <c r="I27" i="2"/>
  <c r="I169" i="1"/>
  <c r="I27" i="1"/>
  <c r="I7" i="1"/>
  <c r="I107" i="2"/>
  <c r="I71" i="2"/>
  <c r="I73" i="2"/>
  <c r="I69" i="2"/>
  <c r="I72" i="2"/>
  <c r="I36" i="2"/>
  <c r="I46" i="2"/>
  <c r="I37" i="2"/>
  <c r="I44" i="2"/>
  <c r="I49" i="2"/>
  <c r="I54" i="2"/>
  <c r="I40" i="2"/>
  <c r="I51" i="2"/>
  <c r="I41" i="2"/>
  <c r="I53" i="2"/>
  <c r="I35" i="2"/>
  <c r="I45" i="2"/>
  <c r="I50" i="2"/>
  <c r="I56" i="2"/>
  <c r="I9" i="2"/>
  <c r="I14" i="2"/>
  <c r="I20" i="2"/>
  <c r="I25" i="2"/>
  <c r="I11" i="2"/>
  <c r="I21" i="2"/>
  <c r="I26" i="2"/>
  <c r="I7" i="2"/>
  <c r="I12" i="2"/>
  <c r="I17" i="2"/>
  <c r="I22" i="2"/>
  <c r="I13" i="2"/>
  <c r="I18" i="2"/>
  <c r="I24" i="2"/>
  <c r="I138" i="1"/>
  <c r="I142" i="1"/>
  <c r="I139" i="1"/>
  <c r="I140" i="1"/>
  <c r="I113" i="1"/>
  <c r="I112" i="1"/>
  <c r="I87" i="1"/>
  <c r="I97" i="1"/>
  <c r="I94" i="1"/>
  <c r="I95" i="1"/>
  <c r="I78" i="1"/>
  <c r="I79" i="1"/>
  <c r="I67" i="1"/>
  <c r="I69" i="1"/>
  <c r="I75" i="1"/>
  <c r="I73" i="1"/>
  <c r="I66" i="1"/>
  <c r="I72" i="1"/>
  <c r="I77" i="1"/>
  <c r="I48" i="1"/>
  <c r="I49" i="1"/>
  <c r="I46" i="1"/>
  <c r="I57" i="1"/>
  <c r="I51" i="1"/>
  <c r="I31" i="1"/>
  <c r="I29" i="1"/>
  <c r="I34" i="1"/>
  <c r="I36" i="1"/>
  <c r="I28" i="1"/>
  <c r="I32" i="1"/>
  <c r="I30" i="1"/>
  <c r="I35" i="1"/>
  <c r="I11" i="1"/>
  <c r="I10" i="1"/>
  <c r="I9" i="1"/>
  <c r="I14" i="1"/>
  <c r="I8" i="1"/>
  <c r="H12" i="1"/>
  <c r="H91" i="2"/>
  <c r="H137" i="1"/>
  <c r="H172" i="1"/>
  <c r="H158" i="1"/>
  <c r="J158" i="1" s="1"/>
  <c r="H89" i="1"/>
  <c r="J89" i="1" s="1"/>
  <c r="H96" i="1"/>
  <c r="J96" i="1" s="1"/>
  <c r="H58" i="1"/>
  <c r="J58" i="1" s="1"/>
  <c r="I91" i="2" l="1"/>
  <c r="I96" i="1"/>
  <c r="I89" i="1"/>
  <c r="I58" i="1"/>
  <c r="H91" i="1"/>
  <c r="H90" i="1"/>
  <c r="I90" i="1" l="1"/>
  <c r="J90" i="1"/>
  <c r="I91" i="1"/>
  <c r="J91" i="1"/>
  <c r="H168" i="1" l="1"/>
  <c r="G168" i="1"/>
  <c r="G191" i="1" s="1"/>
  <c r="F168" i="1"/>
  <c r="F157" i="1"/>
  <c r="G157" i="1"/>
  <c r="H157" i="1"/>
  <c r="F150" i="1"/>
  <c r="J157" i="1" l="1"/>
  <c r="F161" i="1"/>
  <c r="H191" i="1"/>
  <c r="I189" i="1"/>
  <c r="F172" i="1"/>
  <c r="F191" i="1" l="1"/>
  <c r="J191" i="1" s="1"/>
  <c r="J172" i="1"/>
  <c r="C191" i="1"/>
  <c r="I172" i="1"/>
  <c r="I168" i="1"/>
  <c r="D191" i="1" l="1"/>
  <c r="E191" i="1"/>
  <c r="I191" i="1" s="1"/>
  <c r="F103" i="2"/>
  <c r="G103" i="2"/>
  <c r="H103" i="2"/>
  <c r="J103" i="2" l="1"/>
  <c r="I103" i="2"/>
  <c r="H115" i="2"/>
  <c r="G115" i="2"/>
  <c r="G119" i="2" s="1"/>
  <c r="F115" i="2"/>
  <c r="E119" i="2"/>
  <c r="D119" i="2"/>
  <c r="C119" i="2"/>
  <c r="F109" i="2"/>
  <c r="G109" i="2"/>
  <c r="H109" i="2"/>
  <c r="J109" i="2" s="1"/>
  <c r="C109" i="2"/>
  <c r="E109" i="2"/>
  <c r="D109" i="2"/>
  <c r="I115" i="2" l="1"/>
  <c r="J115" i="2"/>
  <c r="I109" i="2"/>
  <c r="H119" i="2"/>
  <c r="J119" i="2" s="1"/>
  <c r="F119" i="2"/>
  <c r="I137" i="1"/>
  <c r="I119" i="2" l="1"/>
  <c r="F137" i="1" l="1"/>
  <c r="G136" i="1"/>
  <c r="H136" i="1"/>
  <c r="F136" i="1" l="1"/>
  <c r="J136" i="1" s="1"/>
  <c r="I136" i="1"/>
  <c r="H18" i="1" l="1"/>
  <c r="J18" i="1" s="1"/>
  <c r="H19" i="1"/>
  <c r="J19" i="1" s="1"/>
  <c r="I19" i="1" l="1"/>
  <c r="I18" i="1"/>
  <c r="F91" i="2"/>
  <c r="D85" i="2" l="1"/>
  <c r="E85" i="2"/>
  <c r="G70" i="2"/>
  <c r="G63" i="2" s="1"/>
  <c r="G85" i="2" s="1"/>
  <c r="H70" i="2"/>
  <c r="C85" i="2"/>
  <c r="I70" i="2" l="1"/>
  <c r="J70" i="2"/>
  <c r="H63" i="2"/>
  <c r="F85" i="2"/>
  <c r="D84" i="2"/>
  <c r="E84" i="2"/>
  <c r="F84" i="2"/>
  <c r="G55" i="2"/>
  <c r="G84" i="2" s="1"/>
  <c r="H55" i="2"/>
  <c r="C84" i="2"/>
  <c r="G52" i="2"/>
  <c r="H52" i="2"/>
  <c r="G48" i="2"/>
  <c r="H48" i="2"/>
  <c r="J48" i="2" s="1"/>
  <c r="D82" i="2"/>
  <c r="E82" i="2"/>
  <c r="F82" i="2"/>
  <c r="G34" i="2"/>
  <c r="G82" i="2" s="1"/>
  <c r="H34" i="2"/>
  <c r="C82" i="2"/>
  <c r="G23" i="2"/>
  <c r="G19" i="2" s="1"/>
  <c r="H23" i="2"/>
  <c r="G16" i="2"/>
  <c r="H16" i="2"/>
  <c r="G10" i="2"/>
  <c r="G6" i="2" s="1"/>
  <c r="H10" i="2"/>
  <c r="G150" i="1"/>
  <c r="G161" i="1" s="1"/>
  <c r="H150" i="1"/>
  <c r="J150" i="1" s="1"/>
  <c r="D130" i="1"/>
  <c r="E130" i="1"/>
  <c r="F111" i="1"/>
  <c r="G111" i="1"/>
  <c r="G130" i="1" s="1"/>
  <c r="H111" i="1"/>
  <c r="C130" i="1"/>
  <c r="G102" i="1"/>
  <c r="H102" i="1"/>
  <c r="G99" i="1"/>
  <c r="H99" i="1"/>
  <c r="G93" i="1"/>
  <c r="H93" i="1"/>
  <c r="G86" i="1"/>
  <c r="H86" i="1"/>
  <c r="G76" i="1"/>
  <c r="H76" i="1"/>
  <c r="G71" i="1"/>
  <c r="H71" i="1"/>
  <c r="D126" i="1"/>
  <c r="E126" i="1"/>
  <c r="G65" i="1"/>
  <c r="G126" i="1" s="1"/>
  <c r="H65" i="1"/>
  <c r="C126" i="1"/>
  <c r="D125" i="1"/>
  <c r="E125" i="1"/>
  <c r="F56" i="1"/>
  <c r="G56" i="1"/>
  <c r="G125" i="1" s="1"/>
  <c r="H56" i="1"/>
  <c r="C125" i="1"/>
  <c r="D124" i="1"/>
  <c r="E124" i="1"/>
  <c r="G45" i="1"/>
  <c r="G124" i="1" s="1"/>
  <c r="H45" i="1"/>
  <c r="C124" i="1"/>
  <c r="G37" i="1"/>
  <c r="H37" i="1"/>
  <c r="G33" i="1"/>
  <c r="H33" i="1"/>
  <c r="G26" i="1"/>
  <c r="H26" i="1"/>
  <c r="E122" i="1"/>
  <c r="G15" i="1"/>
  <c r="G122" i="1" s="1"/>
  <c r="H15" i="1"/>
  <c r="C122" i="1"/>
  <c r="I12" i="1"/>
  <c r="J12" i="1"/>
  <c r="G12" i="1"/>
  <c r="G6" i="1"/>
  <c r="H6" i="1"/>
  <c r="I34" i="2" l="1"/>
  <c r="J34" i="2"/>
  <c r="I10" i="2"/>
  <c r="J10" i="2"/>
  <c r="I37" i="1"/>
  <c r="J15" i="1"/>
  <c r="J93" i="1"/>
  <c r="J102" i="1"/>
  <c r="I71" i="1"/>
  <c r="J71" i="1"/>
  <c r="I33" i="1"/>
  <c r="J33" i="1"/>
  <c r="I56" i="1"/>
  <c r="J56" i="1"/>
  <c r="I45" i="1"/>
  <c r="J45" i="1"/>
  <c r="I63" i="2"/>
  <c r="J63" i="2"/>
  <c r="G43" i="2"/>
  <c r="G83" i="2" s="1"/>
  <c r="I55" i="2"/>
  <c r="J55" i="2"/>
  <c r="J52" i="2"/>
  <c r="F83" i="2"/>
  <c r="I23" i="2"/>
  <c r="J23" i="2"/>
  <c r="J16" i="2"/>
  <c r="I111" i="1"/>
  <c r="J111" i="1"/>
  <c r="I86" i="1"/>
  <c r="J86" i="1"/>
  <c r="I76" i="1"/>
  <c r="J76" i="1"/>
  <c r="I65" i="1"/>
  <c r="J65" i="1"/>
  <c r="I26" i="1"/>
  <c r="J26" i="1"/>
  <c r="I6" i="1"/>
  <c r="J6" i="1"/>
  <c r="I52" i="2"/>
  <c r="I48" i="2"/>
  <c r="I16" i="2"/>
  <c r="I93" i="1"/>
  <c r="I102" i="1"/>
  <c r="H122" i="1"/>
  <c r="I15" i="1"/>
  <c r="H85" i="2"/>
  <c r="J85" i="2" s="1"/>
  <c r="H19" i="2"/>
  <c r="G5" i="2"/>
  <c r="G81" i="2" s="1"/>
  <c r="H6" i="2"/>
  <c r="J6" i="2" s="1"/>
  <c r="H84" i="2"/>
  <c r="J84" i="2" s="1"/>
  <c r="H82" i="2"/>
  <c r="J82" i="2" s="1"/>
  <c r="D122" i="1"/>
  <c r="H43" i="2"/>
  <c r="H161" i="1"/>
  <c r="J161" i="1" s="1"/>
  <c r="H130" i="1"/>
  <c r="H126" i="1"/>
  <c r="H125" i="1"/>
  <c r="H124" i="1"/>
  <c r="H5" i="1"/>
  <c r="G98" i="1"/>
  <c r="H98" i="1"/>
  <c r="E83" i="2"/>
  <c r="D83" i="2"/>
  <c r="E81" i="2"/>
  <c r="D81" i="2"/>
  <c r="C128" i="1"/>
  <c r="E128" i="1"/>
  <c r="E129" i="1"/>
  <c r="D129" i="1"/>
  <c r="H85" i="1"/>
  <c r="D128" i="1"/>
  <c r="E121" i="1"/>
  <c r="G85" i="1"/>
  <c r="G128" i="1" s="1"/>
  <c r="G70" i="1"/>
  <c r="G127" i="1" s="1"/>
  <c r="G5" i="1"/>
  <c r="G121" i="1" s="1"/>
  <c r="E123" i="1"/>
  <c r="C129" i="1"/>
  <c r="H70" i="1"/>
  <c r="D127" i="1"/>
  <c r="F125" i="1"/>
  <c r="F122" i="1"/>
  <c r="H25" i="1"/>
  <c r="E127" i="1"/>
  <c r="G129" i="1"/>
  <c r="G25" i="1"/>
  <c r="G123" i="1" s="1"/>
  <c r="F124" i="1"/>
  <c r="F129" i="1"/>
  <c r="F130" i="1"/>
  <c r="F126" i="1"/>
  <c r="C83" i="2"/>
  <c r="C127" i="1"/>
  <c r="C123" i="1"/>
  <c r="C121" i="1"/>
  <c r="C81" i="2"/>
  <c r="J130" i="1" l="1"/>
  <c r="J124" i="1"/>
  <c r="J125" i="1"/>
  <c r="I98" i="1"/>
  <c r="J98" i="1"/>
  <c r="G80" i="2"/>
  <c r="G97" i="2" s="1"/>
  <c r="G121" i="2" s="1"/>
  <c r="I43" i="2"/>
  <c r="J43" i="2"/>
  <c r="J19" i="2"/>
  <c r="I85" i="1"/>
  <c r="J85" i="1"/>
  <c r="I70" i="1"/>
  <c r="J70" i="1"/>
  <c r="J126" i="1"/>
  <c r="J25" i="1"/>
  <c r="I122" i="1"/>
  <c r="J122" i="1"/>
  <c r="J5" i="1"/>
  <c r="I85" i="2"/>
  <c r="I82" i="2"/>
  <c r="I84" i="2"/>
  <c r="I19" i="2"/>
  <c r="I6" i="2"/>
  <c r="I130" i="1"/>
  <c r="I126" i="1"/>
  <c r="I124" i="1"/>
  <c r="I125" i="1"/>
  <c r="H123" i="1"/>
  <c r="I25" i="1"/>
  <c r="H121" i="1"/>
  <c r="I5" i="1"/>
  <c r="H5" i="2"/>
  <c r="J5" i="2" s="1"/>
  <c r="H83" i="2"/>
  <c r="J83" i="2" s="1"/>
  <c r="D123" i="1"/>
  <c r="D121" i="1"/>
  <c r="H129" i="1"/>
  <c r="J129" i="1" s="1"/>
  <c r="H128" i="1"/>
  <c r="H127" i="1"/>
  <c r="E120" i="1"/>
  <c r="E80" i="2"/>
  <c r="E121" i="2" s="1"/>
  <c r="D80" i="2"/>
  <c r="D121" i="2" s="1"/>
  <c r="G120" i="1"/>
  <c r="D120" i="1"/>
  <c r="F123" i="1"/>
  <c r="F127" i="1"/>
  <c r="F128" i="1"/>
  <c r="F81" i="2"/>
  <c r="F121" i="1"/>
  <c r="C80" i="2"/>
  <c r="C121" i="2" s="1"/>
  <c r="C120" i="1"/>
  <c r="J127" i="1" l="1"/>
  <c r="J128" i="1"/>
  <c r="I123" i="1"/>
  <c r="J123" i="1"/>
  <c r="I121" i="1"/>
  <c r="J121" i="1"/>
  <c r="I83" i="2"/>
  <c r="I5" i="2"/>
  <c r="I128" i="1"/>
  <c r="I129" i="1"/>
  <c r="I127" i="1"/>
  <c r="H81" i="2"/>
  <c r="J81" i="2" s="1"/>
  <c r="H120" i="1"/>
  <c r="C193" i="1"/>
  <c r="G144" i="1"/>
  <c r="G193" i="1" s="1"/>
  <c r="D193" i="1"/>
  <c r="E193" i="1"/>
  <c r="F120" i="1"/>
  <c r="F80" i="2"/>
  <c r="J120" i="1" l="1"/>
  <c r="I81" i="2"/>
  <c r="I120" i="1"/>
  <c r="H80" i="2"/>
  <c r="J80" i="2" s="1"/>
  <c r="H144" i="1"/>
  <c r="F144" i="1"/>
  <c r="F97" i="2"/>
  <c r="J144" i="1" l="1"/>
  <c r="I80" i="2"/>
  <c r="H193" i="1"/>
  <c r="I144" i="1"/>
  <c r="H97" i="2"/>
  <c r="J97" i="2" s="1"/>
  <c r="F193" i="1"/>
  <c r="F121" i="2"/>
  <c r="I193" i="1" l="1"/>
  <c r="J193" i="1"/>
  <c r="H121" i="2"/>
  <c r="J121" i="2" s="1"/>
  <c r="I97" i="2"/>
  <c r="I121" i="2" l="1"/>
</calcChain>
</file>

<file path=xl/comments1.xml><?xml version="1.0" encoding="utf-8"?>
<comments xmlns="http://schemas.openxmlformats.org/spreadsheetml/2006/main">
  <authors>
    <author>Felhasználó</author>
  </authors>
  <commentList>
    <comment ref="C1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Jogalkotás dologi kiadásai (repi anyagok, kar.naptár, ügyvédi díjak, bankktg, kommunikáció díj, könyyvizsgáló) 10.636eFt
Újsággal kapcsolatos kiadások: 6.067eFt
Városgazdálkodás (gyepmester, tűz és munkavéd): 8.798eFt
ÁFA befizetések (Fejérvíz): 4.927eFt</t>
        </r>
      </text>
    </comment>
    <comment ref="F1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Jogalkotás dologi kiadásai (repi anyagok, kar.naptár, ügyvédi díjak, bankktg, kommunikáció díj, könyyvizsgáló) 10.858eFt
Újsággal kapcsolatos kiadások: 7.767eFt
Városgazdálkodás (gyepmester, tűz és munkavéd): 10.227eFt
ÁFA befizetések (Fejérvíz): 6.264eFt</t>
        </r>
      </text>
    </comment>
    <comment ref="C15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 10.000eFt
VP piacból: 22.208 eFt
VP kült.utak: 13.231 eFt
Járdafelúj: 20.000eFt</t>
        </r>
      </text>
    </comment>
    <comment ref="C16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C9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 xml:space="preserve">ÖNK-tól:
</t>
        </r>
        <r>
          <rPr>
            <sz val="9"/>
            <color indexed="81"/>
            <rFont val="Segoe UI"/>
            <family val="2"/>
            <charset val="238"/>
          </rPr>
          <t xml:space="preserve">Polg. 2020.évi céljutt: 1.341eFt
Települési adó: 29.000eFt
VH tartalék 2020.évi maradv: 62.500eFt
Viziközmű tartalék: 53.372eFt
</t>
        </r>
        <r>
          <rPr>
            <b/>
            <sz val="9"/>
            <color indexed="81"/>
            <rFont val="Segoe UI"/>
            <family val="2"/>
            <charset val="238"/>
          </rPr>
          <t>PH-tól</t>
        </r>
        <r>
          <rPr>
            <sz val="9"/>
            <color indexed="81"/>
            <rFont val="Segoe UI"/>
            <family val="2"/>
            <charset val="238"/>
          </rPr>
          <t xml:space="preserve"> 2020.évi áthúz.célj: 2.071eFt
2020.évi áthúz.bér, dologi k: 5.969eFt</t>
        </r>
      </text>
    </comment>
    <comment ref="G9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PH: 6.963 EFt
Óvi: 4.418 EFt
Önk: 269.790 EFt</t>
        </r>
      </text>
    </comment>
    <comment ref="G9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OGY választás tám.(PH) 2.018EFt
NMI támogatás: 2.000EFt
Közétk: 200EFt</t>
        </r>
      </text>
    </comment>
    <comment ref="G95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Vészhelyzeti aggregátor továbbszla (ÁFÁval): 6.544
Folyóirat beszerzés előző évi: 9</t>
        </r>
      </text>
    </comment>
    <comment ref="G106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Leader előfinanszírozás visszatérítendő része</t>
        </r>
      </text>
    </comment>
    <comment ref="C10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
Járda felújítás: 20.000eFt</t>
        </r>
      </text>
    </comment>
    <comment ref="G10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Önk fejl: 120.296
MVK fejl: 2.863</t>
        </r>
      </text>
    </comment>
    <comment ref="C1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13.793 eFt</t>
        </r>
      </text>
    </comment>
    <comment ref="G116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TOP 2.1.3 Csap.víz: 250.000 EFt
VP kül.utak: 201.822 EFt</t>
        </r>
      </text>
    </comment>
    <comment ref="C1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400M: 90.144eFt + 9.240eFt (főszámla ford.áfa)
TOP.3.2.1: 434eFt
TOP 2.1.2 Zöld város : 47.717 eFt 
TOP 4.1.1 Eg.ház: 850 eFt
TOP 5.3.1 Helyi ident: 10.900 eFt
EFOP 4.1.8 könyvtár: 24 eFt
TOP 5.3.1 Helyi id. (BBK): 7.744 eFt
TOP 1.4.1 Bölcsőde: 220.943 EFt
800M VÜ telephely: 128.205 eFt</t>
        </r>
      </text>
    </comment>
    <comment ref="F1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1.4.1 Bölcsőde: 216.228 EFt
</t>
        </r>
      </text>
    </comment>
    <comment ref="G1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TOP5.3.1: 8.165 EFt
BM útfelúj: 91.840 EFt
KÖFOP ASP: 7 EFt</t>
        </r>
      </text>
    </comment>
  </commentList>
</comments>
</file>

<file path=xl/sharedStrings.xml><?xml version="1.0" encoding="utf-8"?>
<sst xmlns="http://schemas.openxmlformats.org/spreadsheetml/2006/main" count="592" uniqueCount="232">
  <si>
    <t xml:space="preserve">MŰKÖDÉSI KÖLTSÉGVETÉS </t>
  </si>
  <si>
    <t xml:space="preserve">KIADÁSOK 1. </t>
  </si>
  <si>
    <t>Eredeti ei.</t>
  </si>
  <si>
    <t>Teljesítés</t>
  </si>
  <si>
    <t>%</t>
  </si>
  <si>
    <t>I./ VH - VÁROSHÁZA: VÁROSIGAZGATÁS ÉS HELYI DEMOKRÁCIA</t>
  </si>
  <si>
    <t>POLGÁRMESTERI HIVATAL (Önálló költségvetés)</t>
  </si>
  <si>
    <t>K1</t>
  </si>
  <si>
    <t>Személyi juttatások (bruttó)</t>
  </si>
  <si>
    <t>K2</t>
  </si>
  <si>
    <t>Munkaadókat terhelő járulék és szoc.h.adó</t>
  </si>
  <si>
    <t>K3</t>
  </si>
  <si>
    <t>Dologi kiadások</t>
  </si>
  <si>
    <t>K5</t>
  </si>
  <si>
    <t>Városháza üzemeltetési költségek</t>
  </si>
  <si>
    <t>K6</t>
  </si>
  <si>
    <t>Beruházások - Munkavégzéshez szükséges eszközök</t>
  </si>
  <si>
    <t>KÉPVISELŐ-TESTÜLET, VÁROSVEZETÉS (Jogalkotás)</t>
  </si>
  <si>
    <t xml:space="preserve">KIADÁSOK 2. </t>
  </si>
  <si>
    <t>BRUNSZVIK TERÉZ ÓVODA (Önálló költségvetés)</t>
  </si>
  <si>
    <t xml:space="preserve">K3 </t>
  </si>
  <si>
    <t>Óvodai gyermekétkeztetés</t>
  </si>
  <si>
    <t>Óvodai üzemeltetési költségek</t>
  </si>
  <si>
    <t>ISKOLAI GYERMEKÉTKEZTETÉS ÉS ISKOLA-ÓVODA TEJ</t>
  </si>
  <si>
    <t>Beethoven Általános Iskola gyermekétkeztetése</t>
  </si>
  <si>
    <t>K4</t>
  </si>
  <si>
    <t>Iskola- és Óvodatej / alma</t>
  </si>
  <si>
    <t>ISKOLÁK TÁMOGATÁSA (A fenntartás és üzemeltetés a Tankerület feladata)</t>
  </si>
  <si>
    <t>III./ OK - OKTATÁS, NEVELÉS ÉS GYERMEKÉTKEZTETÉS (Iskolai fenntartó a Tankerület)</t>
  </si>
  <si>
    <t>Iskolaépületek üzemeltetésének támogatása</t>
  </si>
  <si>
    <t>"Beethoven Keret" - iskolai alapítványi támogatás</t>
  </si>
  <si>
    <t xml:space="preserve">KIADÁSOK 3. </t>
  </si>
  <si>
    <t>IV./ VÜ - VÁROS ÉS LÉTESÍTMÉNYÜZEMELTETÉS, ZÖLDTERÜLETEK ÉS HULLADÉKGAZDÁLKODÁS</t>
  </si>
  <si>
    <t>Köztemető működtetésének támogatása</t>
  </si>
  <si>
    <t>Zöldfelületek, közterületek, kiemelt közterületek és kültéri létesítmények</t>
  </si>
  <si>
    <t>Települési hulladékgazdálkodás</t>
  </si>
  <si>
    <t>Járási Hivatal működtetésének támogatása</t>
  </si>
  <si>
    <t>V./ KÖ - KÖZLEKEDÉSI INFRASTRUKTÚRA, KÖZVILÁGÍTÁS ÉS KÖZÖSSÉGI KÖZLEKEDÉS</t>
  </si>
  <si>
    <t>Helyi közösségi közlekedés támogatása</t>
  </si>
  <si>
    <t>Út, járda karbantartás / hó és sikosság mentesítést is beleértve</t>
  </si>
  <si>
    <t>Közvilágítás</t>
  </si>
  <si>
    <t xml:space="preserve">KIADÁSOK 4. </t>
  </si>
  <si>
    <t>VI./ SZ - SZOCIÁLIS ELLÁTÁS ÉS TÁMOGATÁS (*Beleértve a bölcsődei ellátást is)</t>
  </si>
  <si>
    <t>TKT-nak a Segítő Szolgálatra átadott forrás* (szociális állami támogatásból)</t>
  </si>
  <si>
    <t>Rászoruló gyermekek szünidei étkeztetése</t>
  </si>
  <si>
    <t>VII./ EÜ - EGÉSZSÉGÜGYI ALAPELLÁTÁS</t>
  </si>
  <si>
    <t>VÉDŐNŐI SZOLGÁLAT</t>
  </si>
  <si>
    <t>EGYÉB</t>
  </si>
  <si>
    <t>Labor és egyéb eü.</t>
  </si>
  <si>
    <t>Orvosi és fogorvosi ügyelet működtetése (térségi)</t>
  </si>
  <si>
    <t xml:space="preserve">KIADÁSOK 5. </t>
  </si>
  <si>
    <t>VIII./ KK - KULTÚRA ÉS KÖZÖSSÉGEK</t>
  </si>
  <si>
    <t>VÁROSI KULTURÁLIS INTÉZMÉNYEK ÉS RENDEZVÉNYEK (Korábban BBK)</t>
  </si>
  <si>
    <t>Közművelődés, művészeti tevékenység, BBK üzemeltetése</t>
  </si>
  <si>
    <t>Könyvtári feladatok és üzemeltetés</t>
  </si>
  <si>
    <t>Könyvtári állomány gyarapítása</t>
  </si>
  <si>
    <t>Óvodamúzeum</t>
  </si>
  <si>
    <t>CIVIL SZERVEZETEK, NEMZETKÖZI KAPCSOLATOK</t>
  </si>
  <si>
    <t>"Civil keret" - Civil szervezetek támogatása</t>
  </si>
  <si>
    <t>"Nemzetközi kapcsolatok keret" (testvérvárosi kapcsolattartás)</t>
  </si>
  <si>
    <t>Egyéb hazai, határon túli szervezet és testvértelepülés támogatása</t>
  </si>
  <si>
    <t>IX./ SP - SPORTFELADATOK ÉS SZERVEZETEK</t>
  </si>
  <si>
    <t>VÁROSI SPORTLÉTESÍTMÉNYEK ÜZEMELTETÉSÉNEK ÖNKORMÁNYZATI TÁMOGATÁSA</t>
  </si>
  <si>
    <t>Sportcsarnok</t>
  </si>
  <si>
    <t>Sportközpont</t>
  </si>
  <si>
    <t>SPORTSZERVEZETEK TÁMOGATÁSA</t>
  </si>
  <si>
    <t>Szervezeten belüli utánpótlás-nevelési feladatok támogatása</t>
  </si>
  <si>
    <t>"Sportkeret" - Sportszervezetek támogatása</t>
  </si>
  <si>
    <t>Egyedi sporttámogatások (pl.: TAO pályázati önrész)</t>
  </si>
  <si>
    <t xml:space="preserve">KIADÁSOK 6. </t>
  </si>
  <si>
    <t>X./ KV - KÖZBIZTONSÁG ÉS VÉDELEM (Közterület-felügyelet, mezőőrség)</t>
  </si>
  <si>
    <t>Közterületi Térfigyelő Kamerarendszer működtetése</t>
  </si>
  <si>
    <t>"Védelmi Keret" - Védelmi szervezetek támogatása</t>
  </si>
  <si>
    <t xml:space="preserve">K5 </t>
  </si>
  <si>
    <t>Egyedi védelmi támogatások (pl.: pályázati önrész)</t>
  </si>
  <si>
    <t>KIADÁSOK</t>
  </si>
  <si>
    <t>SPECIÁLIS TÉTELEK, KORREKCIÓK</t>
  </si>
  <si>
    <t>PH, KT, Egyéb, BTO, Védőnői Beruházások (mínusz)</t>
  </si>
  <si>
    <t>"Általános Tartalék"</t>
  </si>
  <si>
    <t>Dologi kiadások (fordított ÁFA nélkül)</t>
  </si>
  <si>
    <t xml:space="preserve">BEVÉTELEK 1. </t>
  </si>
  <si>
    <t>I./ ÁLLAMI TÁMOGATÁSOK - NORMATÍVA</t>
  </si>
  <si>
    <t>I./1. HELYI ÖNKORMÁNYZATOK MŰKÖDÉSÉNEK ÁLTALÁNOS TÁMOGATÁSA</t>
  </si>
  <si>
    <t>B1</t>
  </si>
  <si>
    <t>Önkormányzati Hivatal</t>
  </si>
  <si>
    <t>Polgármesteri illetmény támogatása</t>
  </si>
  <si>
    <t>TELEPÜLÉSÜZEMELTETÉS</t>
  </si>
  <si>
    <t>Zöldterület-gazdálkodás</t>
  </si>
  <si>
    <t>Közvilágítás fenntartása</t>
  </si>
  <si>
    <t>Köztemető fenntartása</t>
  </si>
  <si>
    <t xml:space="preserve">B1 </t>
  </si>
  <si>
    <t>Közutak fenntartása</t>
  </si>
  <si>
    <t>I./2. KÖZNEVELÉSI TÁMOGATÁSOK</t>
  </si>
  <si>
    <t xml:space="preserve">Óvodapedagógusok és segítőik bértámogatása, kiegészítése </t>
  </si>
  <si>
    <t>Óvodaműködtetés támogatása</t>
  </si>
  <si>
    <t>I./3. SZOCIÁLIS ÉS GYERMEKÉTKEZTETÉSI TÁMOGATÁSOK</t>
  </si>
  <si>
    <t>Szociális feladatok pótlékkal együtt</t>
  </si>
  <si>
    <t>Pénzbeli szociális ellátás támogatása</t>
  </si>
  <si>
    <t>GYERMEKÉTKEZTETÉS</t>
  </si>
  <si>
    <t>Brunszvik Teréz Óvoda</t>
  </si>
  <si>
    <t>Beethoven Általános Iskola</t>
  </si>
  <si>
    <t>I./4. KULTURÁLIS TÁMOGATÁSOK (könyvtár, közm., bér., érdekeltségnövelő)</t>
  </si>
  <si>
    <t>I./5. EGYÉB</t>
  </si>
  <si>
    <t xml:space="preserve">BEVÉTELEK 2. </t>
  </si>
  <si>
    <t>II./ EGYÉB MŰKÖDÉSI CÉLÚ TÁMOGATÁSOK ÉS ÁTVETT PÉNZESZKÖZÖK</t>
  </si>
  <si>
    <t>Mezőőr támogatás</t>
  </si>
  <si>
    <t>Iskolatej támogatás</t>
  </si>
  <si>
    <t>Védőnői szolgálat</t>
  </si>
  <si>
    <t>Közfoglalkoztatás</t>
  </si>
  <si>
    <t>Minden egyéb működési célú támogatás</t>
  </si>
  <si>
    <t>Társulásoktól és szerveiktől, helyi önkormányzatoktól és szerveiktől</t>
  </si>
  <si>
    <t>B6</t>
  </si>
  <si>
    <t>Működési célú átvett pénzeszközök</t>
  </si>
  <si>
    <t>*</t>
  </si>
  <si>
    <t>III./ MŰKÖDÉSI BEVÉTELEK</t>
  </si>
  <si>
    <t>B3</t>
  </si>
  <si>
    <t>Mezőőri hozzájárulás gazdáktól</t>
  </si>
  <si>
    <t>B4</t>
  </si>
  <si>
    <t>Viziközmű tulajdonosi bevétel</t>
  </si>
  <si>
    <t>Kamatbevételek</t>
  </si>
  <si>
    <t>GYERMEKÉTKEZTETÉS SZÜLŐI BEFIZETÉSEI</t>
  </si>
  <si>
    <t>ÁFA</t>
  </si>
  <si>
    <t>Kiszámlázott Áfa</t>
  </si>
  <si>
    <t>ÁFA megtérülés</t>
  </si>
  <si>
    <t>IV./ ÖNKORMÁNYZATI SZERVEK, INTÉZMÉNYEK MŰKÖDÉSI BEVÉTELEI</t>
  </si>
  <si>
    <t>Polgármesteri Hivatal</t>
  </si>
  <si>
    <t xml:space="preserve">BEVÉTELEK 3. </t>
  </si>
  <si>
    <t>V./ KÖZHATALMI BEVÉTELEK</t>
  </si>
  <si>
    <t>Jövedelemadók</t>
  </si>
  <si>
    <t>Átengedett központi adó: gépjárműadó</t>
  </si>
  <si>
    <t>HELYI ADÓK</t>
  </si>
  <si>
    <t>Építményadó</t>
  </si>
  <si>
    <t>Telekadó</t>
  </si>
  <si>
    <t>Kommunális adó</t>
  </si>
  <si>
    <t>Iparűzési adó</t>
  </si>
  <si>
    <t>BEVÉTELEK</t>
  </si>
  <si>
    <t>Egészségház üzemeltetésének támogatása (védőnői helyiséggel együtt)</t>
  </si>
  <si>
    <t>Települési adó bevételből származó tartalék</t>
  </si>
  <si>
    <t>Korábbi BBK intézmény bevételei (plusz)</t>
  </si>
  <si>
    <t>Egyéb korrekciós tényezők</t>
  </si>
  <si>
    <t>ebből Polgármesteri Hivatal</t>
  </si>
  <si>
    <t>ebből Brunszvik Teréz Óvoda</t>
  </si>
  <si>
    <t>Talajterhelési adó</t>
  </si>
  <si>
    <t>Pótlékok, bírságok</t>
  </si>
  <si>
    <t>Települési adó</t>
  </si>
  <si>
    <t>Adóhátralékok behajtása</t>
  </si>
  <si>
    <t>II./ ÖNK - EGYÉB ÖNKORMÁNYZATI FELADATOK (Közfogl., minden fennmaradó kiadás)</t>
  </si>
  <si>
    <t>Veszélyhelyzeti céltartalék</t>
  </si>
  <si>
    <t>K8</t>
  </si>
  <si>
    <t>Városüzemeltetés felhalmozási célú kiadásai</t>
  </si>
  <si>
    <t>ebből Városüzemeltetés felhalmozási kiadásai</t>
  </si>
  <si>
    <t xml:space="preserve">FELHALMOZÁSI KÖLTSÉGVETÉS </t>
  </si>
  <si>
    <t>FELHALMOZÁSI BEVÉTELEK - PÁLYÁZATOK NÉLKÜL</t>
  </si>
  <si>
    <t>FELHALMOZÁSI KÖLTSÉGVETÉS - PÁLYÁZATOK</t>
  </si>
  <si>
    <t>Pályázati támogatás</t>
  </si>
  <si>
    <t xml:space="preserve">FELHALMOZÁSI BEVÉTELEK - PÁLYÁZATOK </t>
  </si>
  <si>
    <t>ÁHT-n kívülről átvett felhalmozási bevétel</t>
  </si>
  <si>
    <t>FELHALMOZÁSI KIADÁSOK MINDÖSSZESEN</t>
  </si>
  <si>
    <t>KIADÁSOK MINDÖSSZESEN</t>
  </si>
  <si>
    <t>Önkormányzati felhalmozási kiadások (saját forrás)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</si>
  <si>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</si>
  <si>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</si>
  <si>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</si>
  <si>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</si>
  <si>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</si>
  <si>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</si>
  <si>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</si>
  <si>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</si>
  <si>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NGM tám. 800M </t>
  </si>
  <si>
    <t xml:space="preserve">BM Brunszvik Terv 400M </t>
  </si>
  <si>
    <t>Tornaterem felújítás</t>
  </si>
  <si>
    <t>TOP-5.3.1 Helyi identitás (BBK)</t>
  </si>
  <si>
    <t>Intézményi felhalmozási kiadások (PH, óvoda)</t>
  </si>
  <si>
    <t>Önkormányzati felhalmozási célú pe.átadás</t>
  </si>
  <si>
    <t>TOP 1.4.1 Bölcsőde</t>
  </si>
  <si>
    <t>Egyéb korrekciós tényező (Szolidaritási hozzájárulás, ÁH belüli megelőlegezés)</t>
  </si>
  <si>
    <t>Önkormányzati - élelmezési tartalék</t>
  </si>
  <si>
    <t>KORRIGÁLÓ, CSÖKKENTŐ TÉNYEZŐK / MÍNUSZ (Adóbeszámítás)</t>
  </si>
  <si>
    <t>ÉVES MŰKÖDÉSI BEVÉTELEK (I. - V.): PÁLYÁZATOK NÉLKÜL</t>
  </si>
  <si>
    <t>Felhalmozási célú önkormányzati támogatás (BM járdafelújítás)</t>
  </si>
  <si>
    <t>SPECIÁLIS TÉTELEK, KORREKCIÓK (PÁLYÁZATOK NÉLKÜL)</t>
  </si>
  <si>
    <t>BEVÉTELEK MINDÖSSZESEN (ÁHT SZERINTI MÉRLEGGEL EGYEZŐEN)</t>
  </si>
  <si>
    <t>ÉVES MŰKÖDÉSI CÉLÚ KIADÁSOK ÖSSZESEN (I. - X.): PÁLYÁZATOK NÉLKÜL</t>
  </si>
  <si>
    <t>MŰKÖDÉSI CÉLÚ TARTALÉKOK</t>
  </si>
  <si>
    <t>FELHALMOZÁSI CÉLÚ TARTALÉKOK</t>
  </si>
  <si>
    <t>PÁLYÁZATI KIADÁSOK</t>
  </si>
  <si>
    <t>FELHALMOZÁSI CÉLÚ KIADÁSOK</t>
  </si>
  <si>
    <t>2021. ÉV (E FT)</t>
  </si>
  <si>
    <t xml:space="preserve">II./ ÖNK - EGYÉB ÖNKORMÁNYZATI FELADATOK </t>
  </si>
  <si>
    <t>Egyéb működési célú támogatások</t>
  </si>
  <si>
    <t>Egyéb működési bevétel</t>
  </si>
  <si>
    <t>Piac és vásártartás</t>
  </si>
  <si>
    <t>X./ KV - KÖZBIZTONSÁG ÉS VÉDELEM</t>
  </si>
  <si>
    <t>MARTONVÁSÁR KÖLTSÉGVETÉSI TERVE</t>
  </si>
  <si>
    <t>Egyéb támogatások (Egyéb köt.fel., lakott külterület tám.)</t>
  </si>
  <si>
    <t>Pápay Ágoston Általános Iskola</t>
  </si>
  <si>
    <t>Egyéb működési bevételek (bérleti díjak, hirdetések, továbbszla. szolg)</t>
  </si>
  <si>
    <t>TKT-nak átadott tagdíj, bankköltségek, belső ellenőrzési díj</t>
  </si>
  <si>
    <t>Pápay Ágoston Általános Iskola és Kollégium gyermekétkeztetése</t>
  </si>
  <si>
    <t>Városüzemeltetési iroda és telephely(-ek) épület üzemeltetése</t>
  </si>
  <si>
    <t>Egyéb ingatlanok üzemeltetésének támogatása</t>
  </si>
  <si>
    <t>Szociális támogatások, táborok - "Szociális Keret" (állami támogatásból)</t>
  </si>
  <si>
    <t>TKT-nak a Segítő Szolgálatra fea-ira átadott állami támogatás</t>
  </si>
  <si>
    <t>EU pályázatok finanszírozási tartaléka (TOP Zöldváros)</t>
  </si>
  <si>
    <t xml:space="preserve">TARTALÉKOK ÖSSZESEN </t>
  </si>
  <si>
    <t>Módosítás</t>
  </si>
  <si>
    <t>Módosított ei.</t>
  </si>
  <si>
    <t>BM Járdafelújítás</t>
  </si>
  <si>
    <t xml:space="preserve">"Rendezvénykeret" </t>
  </si>
  <si>
    <r>
      <t xml:space="preserve">MŰKÖDÉSI BEVÉTELEK ÖSSZESEN </t>
    </r>
    <r>
      <rPr>
        <b/>
        <sz val="11"/>
        <color theme="0"/>
        <rFont val="Times New Roman"/>
        <family val="1"/>
        <charset val="238"/>
      </rPr>
      <t>(PÁLYÁZATOK NÉLKÜL)</t>
    </r>
  </si>
  <si>
    <r>
      <t xml:space="preserve">FELHALMOZÁSI BEVÉTELEK ÖSSZESEN </t>
    </r>
    <r>
      <rPr>
        <b/>
        <sz val="11"/>
        <color theme="0"/>
        <rFont val="Times New Roman"/>
        <family val="1"/>
        <charset val="238"/>
      </rPr>
      <t>(PÁLYÁZATOK NÉLKÜL)</t>
    </r>
  </si>
  <si>
    <r>
      <t xml:space="preserve">FELHALMOZÁSI BEVÉTELEK ÖSSZESEN </t>
    </r>
    <r>
      <rPr>
        <b/>
        <sz val="11"/>
        <color theme="0"/>
        <rFont val="Times New Roman"/>
        <family val="1"/>
        <charset val="238"/>
      </rPr>
      <t>(PÁLYÁZATOK)</t>
    </r>
  </si>
  <si>
    <r>
      <t xml:space="preserve">MŰKÖDÉSI KIADÁSOK ÖSSZESEN (140=110+125+132) </t>
    </r>
    <r>
      <rPr>
        <b/>
        <sz val="11"/>
        <color theme="0"/>
        <rFont val="Times New Roman"/>
        <family val="1"/>
        <charset val="238"/>
      </rPr>
      <t>PÁLYÁZATOK NÉLKÜL</t>
    </r>
  </si>
  <si>
    <t>"Viziközmű Céltartalék" → "Viziközmű Alap"</t>
  </si>
  <si>
    <t>"Fejlesztési Céltartalék" → "Városfejlesztési Alap"</t>
  </si>
  <si>
    <t>Viszonyítás az előző éves teljesítéshez     (6 : 3)</t>
  </si>
  <si>
    <t>Viszonyítás a tárgyévi módosított ei-hoz képest              (6:4)</t>
  </si>
  <si>
    <t>Ingatlan, tárgyi eszköz értékesítés</t>
  </si>
  <si>
    <t>BM Útfelújítás</t>
  </si>
  <si>
    <t>ebből Labor, Védőnő</t>
  </si>
  <si>
    <t>Fejlesztési koncepció alapján átadott városüzemeltetés működési célú kiadásai</t>
  </si>
  <si>
    <t>Fejlesztési koncepció alapján átadott városüzemeltetés felhalmozási célú kiadásai</t>
  </si>
  <si>
    <t>2022. ÉV (E FT)</t>
  </si>
  <si>
    <t>Egyedi civil támogatások (pl.: pályázati önrész, szőlő és gyümölcsösök támogatása)</t>
  </si>
  <si>
    <t>Működési céltartalék (HR fejlesztési)</t>
  </si>
  <si>
    <t>Önkormányzati rendezvények tartaléka</t>
  </si>
  <si>
    <t>TOP 2.1.3 Csapadékvíz elvezetési pályázat</t>
  </si>
  <si>
    <t>VP6 Külterületi utak pályázat</t>
  </si>
  <si>
    <t>Eseti és önkormányzati rendezvények</t>
  </si>
  <si>
    <r>
      <t xml:space="preserve">Működési célú finanszírozási bevételek maradványból </t>
    </r>
    <r>
      <rPr>
        <b/>
        <i/>
        <sz val="11"/>
        <color theme="1"/>
        <rFont val="Times New Roman"/>
        <family val="1"/>
        <charset val="238"/>
      </rPr>
      <t>(pályázatok nélkül)</t>
    </r>
  </si>
  <si>
    <r>
      <t xml:space="preserve">Felhalmozási célú finanszírozási bevételek maradványból </t>
    </r>
    <r>
      <rPr>
        <b/>
        <i/>
        <sz val="11"/>
        <color theme="1"/>
        <rFont val="Times New Roman"/>
        <family val="1"/>
        <charset val="238"/>
      </rPr>
      <t>(pályázatok nélkül)</t>
    </r>
  </si>
  <si>
    <t>Finanszírozási bevételek áthúzódó pályázatok kv-i maradványából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</si>
</sst>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6" borderId="1" xfId="0" applyNumberFormat="1" applyFont="1" applyFill="1" applyBorder="1"/>
    <xf numFmtId="9" fontId="4" fillId="6" borderId="1" xfId="1" applyFont="1" applyFill="1" applyBorder="1"/>
    <xf numFmtId="9" fontId="4" fillId="6" borderId="9" xfId="1" applyFont="1" applyFill="1" applyBorder="1"/>
    <xf numFmtId="0" fontId="4" fillId="0" borderId="0" xfId="0" applyFont="1"/>
    <xf numFmtId="3" fontId="4" fillId="10" borderId="1" xfId="0" applyNumberFormat="1" applyFont="1" applyFill="1" applyBorder="1"/>
    <xf numFmtId="9" fontId="4" fillId="10" borderId="1" xfId="1" applyFont="1" applyFill="1" applyBorder="1"/>
    <xf numFmtId="9" fontId="4" fillId="10" borderId="9" xfId="1" applyFont="1" applyFill="1" applyBorder="1"/>
    <xf numFmtId="0" fontId="5" fillId="0" borderId="8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center"/>
    </xf>
    <xf numFmtId="9" fontId="5" fillId="0" borderId="1" xfId="1" applyFont="1" applyBorder="1" applyAlignment="1">
      <alignment vertical="center"/>
    </xf>
    <xf numFmtId="9" fontId="5" fillId="0" borderId="9" xfId="1" applyFont="1" applyBorder="1"/>
    <xf numFmtId="0" fontId="5" fillId="0" borderId="0" xfId="0" applyFont="1"/>
    <xf numFmtId="3" fontId="5" fillId="0" borderId="1" xfId="0" applyNumberFormat="1" applyFont="1" applyFill="1" applyBorder="1"/>
    <xf numFmtId="3" fontId="4" fillId="10" borderId="11" xfId="0" applyNumberFormat="1" applyFont="1" applyFill="1" applyBorder="1"/>
    <xf numFmtId="9" fontId="4" fillId="10" borderId="11" xfId="1" applyFont="1" applyFill="1" applyBorder="1"/>
    <xf numFmtId="9" fontId="4" fillId="10" borderId="12" xfId="1" applyFont="1" applyFill="1" applyBorder="1"/>
    <xf numFmtId="3" fontId="4" fillId="5" borderId="1" xfId="0" applyNumberFormat="1" applyFont="1" applyFill="1" applyBorder="1"/>
    <xf numFmtId="9" fontId="4" fillId="5" borderId="1" xfId="1" applyFont="1" applyFill="1" applyBorder="1"/>
    <xf numFmtId="9" fontId="4" fillId="5" borderId="9" xfId="1" applyFont="1" applyFill="1" applyBorder="1"/>
    <xf numFmtId="3" fontId="4" fillId="3" borderId="1" xfId="0" applyNumberFormat="1" applyFont="1" applyFill="1" applyBorder="1"/>
    <xf numFmtId="9" fontId="4" fillId="3" borderId="1" xfId="1" applyFont="1" applyFill="1" applyBorder="1"/>
    <xf numFmtId="9" fontId="4" fillId="3" borderId="9" xfId="1" applyFont="1" applyFill="1" applyBorder="1"/>
    <xf numFmtId="3" fontId="4" fillId="11" borderId="1" xfId="0" applyNumberFormat="1" applyFont="1" applyFill="1" applyBorder="1"/>
    <xf numFmtId="9" fontId="4" fillId="11" borderId="1" xfId="1" applyFont="1" applyFill="1" applyBorder="1"/>
    <xf numFmtId="9" fontId="4" fillId="11" borderId="9" xfId="1" applyFont="1" applyFill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vertical="center"/>
    </xf>
    <xf numFmtId="9" fontId="5" fillId="0" borderId="11" xfId="1" applyFont="1" applyBorder="1" applyAlignment="1">
      <alignment vertical="center"/>
    </xf>
    <xf numFmtId="9" fontId="5" fillId="0" borderId="12" xfId="1" applyFont="1" applyBorder="1"/>
    <xf numFmtId="3" fontId="4" fillId="13" borderId="1" xfId="0" applyNumberFormat="1" applyFont="1" applyFill="1" applyBorder="1"/>
    <xf numFmtId="9" fontId="4" fillId="13" borderId="1" xfId="1" applyFont="1" applyFill="1" applyBorder="1"/>
    <xf numFmtId="9" fontId="4" fillId="13" borderId="9" xfId="1" applyFont="1" applyFill="1" applyBorder="1"/>
    <xf numFmtId="3" fontId="4" fillId="14" borderId="1" xfId="0" applyNumberFormat="1" applyFont="1" applyFill="1" applyBorder="1"/>
    <xf numFmtId="9" fontId="4" fillId="14" borderId="1" xfId="1" applyFont="1" applyFill="1" applyBorder="1"/>
    <xf numFmtId="9" fontId="4" fillId="14" borderId="9" xfId="1" applyFont="1" applyFill="1" applyBorder="1"/>
    <xf numFmtId="3" fontId="4" fillId="13" borderId="11" xfId="0" applyNumberFormat="1" applyFont="1" applyFill="1" applyBorder="1"/>
    <xf numFmtId="9" fontId="4" fillId="13" borderId="11" xfId="1" applyFont="1" applyFill="1" applyBorder="1"/>
    <xf numFmtId="9" fontId="4" fillId="13" borderId="12" xfId="1" applyFont="1" applyFill="1" applyBorder="1"/>
    <xf numFmtId="3" fontId="4" fillId="14" borderId="1" xfId="0" applyNumberFormat="1" applyFont="1" applyFill="1" applyBorder="1" applyAlignment="1">
      <alignment vertical="center"/>
    </xf>
    <xf numFmtId="9" fontId="4" fillId="14" borderId="1" xfId="1" applyFont="1" applyFill="1" applyBorder="1" applyAlignment="1">
      <alignment vertical="center"/>
    </xf>
    <xf numFmtId="9" fontId="4" fillId="14" borderId="9" xfId="1" applyFont="1" applyFill="1" applyBorder="1" applyAlignment="1">
      <alignment vertical="center"/>
    </xf>
    <xf numFmtId="0" fontId="5" fillId="0" borderId="17" xfId="0" applyFont="1" applyFill="1" applyBorder="1"/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/>
    <xf numFmtId="9" fontId="5" fillId="0" borderId="3" xfId="1" applyFont="1" applyBorder="1" applyAlignment="1">
      <alignment vertical="center"/>
    </xf>
    <xf numFmtId="9" fontId="5" fillId="0" borderId="18" xfId="1" applyFont="1" applyFill="1" applyBorder="1"/>
    <xf numFmtId="0" fontId="5" fillId="0" borderId="0" xfId="0" applyFont="1" applyFill="1"/>
    <xf numFmtId="0" fontId="5" fillId="0" borderId="3" xfId="0" applyFont="1" applyFill="1" applyBorder="1"/>
    <xf numFmtId="3" fontId="5" fillId="0" borderId="3" xfId="0" applyNumberFormat="1" applyFont="1" applyBorder="1"/>
    <xf numFmtId="0" fontId="5" fillId="0" borderId="17" xfId="0" applyFont="1" applyBorder="1"/>
    <xf numFmtId="0" fontId="5" fillId="0" borderId="3" xfId="0" applyFont="1" applyBorder="1"/>
    <xf numFmtId="9" fontId="5" fillId="0" borderId="18" xfId="1" applyFont="1" applyBorder="1"/>
    <xf numFmtId="3" fontId="4" fillId="12" borderId="21" xfId="0" applyNumberFormat="1" applyFont="1" applyFill="1" applyBorder="1" applyAlignment="1">
      <alignment vertical="center"/>
    </xf>
    <xf numFmtId="9" fontId="4" fillId="12" borderId="21" xfId="1" applyFont="1" applyFill="1" applyBorder="1" applyAlignment="1">
      <alignment vertical="center"/>
    </xf>
    <xf numFmtId="9" fontId="4" fillId="12" borderId="22" xfId="1" applyFont="1" applyFill="1" applyBorder="1" applyAlignment="1">
      <alignment vertical="center"/>
    </xf>
    <xf numFmtId="3" fontId="8" fillId="0" borderId="3" xfId="0" applyNumberFormat="1" applyFont="1" applyFill="1" applyBorder="1"/>
    <xf numFmtId="3" fontId="7" fillId="12" borderId="21" xfId="0" applyNumberFormat="1" applyFont="1" applyFill="1" applyBorder="1" applyAlignment="1">
      <alignment vertical="center"/>
    </xf>
    <xf numFmtId="9" fontId="7" fillId="12" borderId="21" xfId="1" applyFont="1" applyFill="1" applyBorder="1" applyAlignment="1">
      <alignment vertical="center"/>
    </xf>
    <xf numFmtId="9" fontId="7" fillId="12" borderId="22" xfId="1" applyFont="1" applyFill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vertical="center"/>
    </xf>
    <xf numFmtId="9" fontId="4" fillId="13" borderId="1" xfId="1" applyFont="1" applyFill="1" applyBorder="1" applyAlignment="1">
      <alignment vertical="center"/>
    </xf>
    <xf numFmtId="9" fontId="4" fillId="13" borderId="9" xfId="1" applyNumberFormat="1" applyFont="1" applyFill="1" applyBorder="1" applyAlignment="1">
      <alignment vertical="center"/>
    </xf>
    <xf numFmtId="9" fontId="5" fillId="0" borderId="9" xfId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9" fontId="4" fillId="3" borderId="1" xfId="1" applyFont="1" applyFill="1" applyBorder="1" applyAlignment="1">
      <alignment vertical="center"/>
    </xf>
    <xf numFmtId="9" fontId="4" fillId="3" borderId="9" xfId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9" fontId="5" fillId="0" borderId="12" xfId="1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9" fontId="4" fillId="4" borderId="1" xfId="1" applyFont="1" applyFill="1" applyBorder="1" applyAlignment="1">
      <alignment vertical="center"/>
    </xf>
    <xf numFmtId="9" fontId="4" fillId="4" borderId="9" xfId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9" fontId="5" fillId="0" borderId="9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5" fillId="0" borderId="12" xfId="1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vertical="center"/>
    </xf>
    <xf numFmtId="9" fontId="4" fillId="10" borderId="1" xfId="1" applyFont="1" applyFill="1" applyBorder="1" applyAlignment="1">
      <alignment vertical="center"/>
    </xf>
    <xf numFmtId="9" fontId="4" fillId="10" borderId="9" xfId="1" applyFont="1" applyFill="1" applyBorder="1" applyAlignment="1">
      <alignment vertical="center"/>
    </xf>
    <xf numFmtId="9" fontId="5" fillId="0" borderId="9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9" fontId="4" fillId="7" borderId="1" xfId="1" applyFont="1" applyFill="1" applyBorder="1" applyAlignment="1">
      <alignment vertical="center"/>
    </xf>
    <xf numFmtId="9" fontId="4" fillId="7" borderId="9" xfId="1" applyFont="1" applyFill="1" applyBorder="1" applyAlignment="1">
      <alignment vertical="center"/>
    </xf>
    <xf numFmtId="9" fontId="5" fillId="0" borderId="12" xfId="1" applyFont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9" fontId="4" fillId="5" borderId="1" xfId="1" applyFont="1" applyFill="1" applyBorder="1" applyAlignment="1">
      <alignment vertical="center"/>
    </xf>
    <xf numFmtId="9" fontId="4" fillId="5" borderId="9" xfId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4" fillId="8" borderId="1" xfId="0" applyNumberFormat="1" applyFont="1" applyFill="1" applyBorder="1" applyAlignment="1">
      <alignment vertical="center"/>
    </xf>
    <xf numFmtId="9" fontId="4" fillId="8" borderId="1" xfId="1" applyFont="1" applyFill="1" applyBorder="1" applyAlignment="1">
      <alignment vertical="center"/>
    </xf>
    <xf numFmtId="9" fontId="4" fillId="8" borderId="9" xfId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9" fontId="4" fillId="9" borderId="1" xfId="1" applyFont="1" applyFill="1" applyBorder="1" applyAlignment="1">
      <alignment vertical="center"/>
    </xf>
    <xf numFmtId="9" fontId="4" fillId="9" borderId="9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vertical="center"/>
    </xf>
    <xf numFmtId="9" fontId="4" fillId="6" borderId="1" xfId="1" applyFont="1" applyFill="1" applyBorder="1" applyAlignment="1">
      <alignment vertical="center"/>
    </xf>
    <xf numFmtId="9" fontId="4" fillId="6" borderId="9" xfId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4" fillId="2" borderId="1" xfId="1" applyFont="1" applyFill="1" applyBorder="1" applyAlignment="1">
      <alignment vertical="center"/>
    </xf>
    <xf numFmtId="9" fontId="4" fillId="2" borderId="9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11" borderId="21" xfId="0" applyNumberFormat="1" applyFont="1" applyFill="1" applyBorder="1" applyAlignment="1">
      <alignment vertical="center"/>
    </xf>
    <xf numFmtId="9" fontId="4" fillId="11" borderId="21" xfId="1" applyFont="1" applyFill="1" applyBorder="1" applyAlignment="1">
      <alignment vertical="center"/>
    </xf>
    <xf numFmtId="9" fontId="4" fillId="11" borderId="22" xfId="1" applyFont="1" applyFill="1" applyBorder="1" applyAlignment="1">
      <alignment vertical="center"/>
    </xf>
    <xf numFmtId="3" fontId="4" fillId="13" borderId="4" xfId="0" applyNumberFormat="1" applyFont="1" applyFill="1" applyBorder="1" applyAlignment="1">
      <alignment vertical="center"/>
    </xf>
    <xf numFmtId="9" fontId="4" fillId="13" borderId="4" xfId="1" applyFont="1" applyFill="1" applyBorder="1" applyAlignment="1">
      <alignment vertical="center"/>
    </xf>
    <xf numFmtId="9" fontId="4" fillId="13" borderId="14" xfId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9" fontId="4" fillId="2" borderId="11" xfId="1" applyFont="1" applyFill="1" applyBorder="1" applyAlignment="1">
      <alignment vertical="center"/>
    </xf>
    <xf numFmtId="9" fontId="4" fillId="2" borderId="12" xfId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9" fontId="5" fillId="0" borderId="18" xfId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12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15" borderId="1" xfId="0" applyNumberFormat="1" applyFont="1" applyFill="1" applyBorder="1" applyAlignment="1">
      <alignment vertical="center"/>
    </xf>
    <xf numFmtId="9" fontId="4" fillId="15" borderId="1" xfId="1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5" fillId="0" borderId="11" xfId="0" applyNumberFormat="1" applyFont="1" applyFill="1" applyBorder="1"/>
    <xf numFmtId="3" fontId="8" fillId="0" borderId="11" xfId="0" applyNumberFormat="1" applyFont="1" applyBorder="1" applyAlignment="1">
      <alignment vertical="center"/>
    </xf>
    <xf numFmtId="3" fontId="8" fillId="0" borderId="1" xfId="0" applyNumberFormat="1" applyFont="1" applyBorder="1"/>
    <xf numFmtId="3" fontId="8" fillId="0" borderId="1" xfId="0" applyNumberFormat="1" applyFont="1" applyFill="1" applyBorder="1"/>
    <xf numFmtId="3" fontId="13" fillId="10" borderId="1" xfId="0" applyNumberFormat="1" applyFont="1" applyFill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13" borderId="8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14" borderId="13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left" vertical="center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10" borderId="13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13" borderId="13" xfId="0" applyFont="1" applyFill="1" applyBorder="1" applyAlignment="1">
      <alignment horizontal="left"/>
    </xf>
    <xf numFmtId="0" fontId="4" fillId="13" borderId="2" xfId="0" applyFont="1" applyFill="1" applyBorder="1" applyAlignment="1">
      <alignment horizontal="left"/>
    </xf>
    <xf numFmtId="0" fontId="4" fillId="11" borderId="13" xfId="0" applyFont="1" applyFill="1" applyBorder="1" applyAlignment="1">
      <alignment horizontal="left" wrapText="1"/>
    </xf>
    <xf numFmtId="0" fontId="4" fillId="11" borderId="2" xfId="0" applyFont="1" applyFill="1" applyBorder="1" applyAlignment="1">
      <alignment horizontal="left" wrapText="1"/>
    </xf>
    <xf numFmtId="0" fontId="7" fillId="12" borderId="24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3" borderId="15" xfId="0" applyFont="1" applyFill="1" applyBorder="1" applyAlignment="1">
      <alignment horizontal="left"/>
    </xf>
    <xf numFmtId="0" fontId="4" fillId="13" borderId="16" xfId="0" applyFont="1" applyFill="1" applyBorder="1" applyAlignment="1">
      <alignment horizontal="left"/>
    </xf>
    <xf numFmtId="0" fontId="4" fillId="12" borderId="24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3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87" sqref="B187"/>
    </sheetView>
  </sheetViews>
  <sheetFormatPr defaultColWidth="9.140625" defaultRowHeight="15" x14ac:dyDescent="0.25"/>
  <cols>
    <col min="1" max="1" width="3.85546875" style="4" customWidth="1"/>
    <col min="2" max="2" width="62.28515625" style="4" customWidth="1"/>
    <col min="3" max="3" width="10.28515625" style="4" customWidth="1"/>
    <col min="4" max="4" width="11.7109375" style="4" customWidth="1"/>
    <col min="5" max="7" width="10.28515625" style="4" customWidth="1"/>
    <col min="8" max="8" width="12" style="4" customWidth="1"/>
    <col min="9" max="9" width="9.85546875" style="4" customWidth="1"/>
    <col min="10" max="10" width="10" style="4" customWidth="1"/>
    <col min="11" max="16384" width="9.140625" style="4"/>
  </cols>
  <sheetData>
    <row r="1" spans="1:10" x14ac:dyDescent="0.25">
      <c r="A1" s="175" t="s">
        <v>193</v>
      </c>
      <c r="B1" s="176"/>
      <c r="C1" s="176" t="s">
        <v>187</v>
      </c>
      <c r="D1" s="176"/>
      <c r="E1" s="176"/>
      <c r="F1" s="156" t="s">
        <v>222</v>
      </c>
      <c r="G1" s="157"/>
      <c r="H1" s="158"/>
      <c r="I1" s="1" t="s">
        <v>4</v>
      </c>
      <c r="J1" s="2" t="s">
        <v>4</v>
      </c>
    </row>
    <row r="2" spans="1:10" ht="15" customHeight="1" x14ac:dyDescent="0.25">
      <c r="A2" s="169" t="s">
        <v>0</v>
      </c>
      <c r="B2" s="170"/>
      <c r="C2" s="159" t="s">
        <v>2</v>
      </c>
      <c r="D2" s="160" t="s">
        <v>206</v>
      </c>
      <c r="E2" s="160" t="s">
        <v>3</v>
      </c>
      <c r="F2" s="159" t="s">
        <v>2</v>
      </c>
      <c r="G2" s="159" t="s">
        <v>205</v>
      </c>
      <c r="H2" s="160" t="s">
        <v>206</v>
      </c>
      <c r="I2" s="161" t="s">
        <v>215</v>
      </c>
      <c r="J2" s="164" t="s">
        <v>216</v>
      </c>
    </row>
    <row r="3" spans="1:10" x14ac:dyDescent="0.25">
      <c r="A3" s="169" t="s">
        <v>1</v>
      </c>
      <c r="B3" s="170"/>
      <c r="C3" s="159"/>
      <c r="D3" s="160"/>
      <c r="E3" s="160"/>
      <c r="F3" s="159"/>
      <c r="G3" s="159"/>
      <c r="H3" s="160"/>
      <c r="I3" s="162"/>
      <c r="J3" s="165"/>
    </row>
    <row r="4" spans="1:10" ht="23.25" customHeight="1" x14ac:dyDescent="0.25">
      <c r="A4" s="167"/>
      <c r="B4" s="168"/>
      <c r="C4" s="69">
        <v>1</v>
      </c>
      <c r="D4" s="70">
        <v>2</v>
      </c>
      <c r="E4" s="70">
        <v>3</v>
      </c>
      <c r="F4" s="70">
        <v>4</v>
      </c>
      <c r="G4" s="69">
        <v>5</v>
      </c>
      <c r="H4" s="70">
        <v>6</v>
      </c>
      <c r="I4" s="163"/>
      <c r="J4" s="166"/>
    </row>
    <row r="5" spans="1:10" s="3" customFormat="1" ht="14.25" x14ac:dyDescent="0.25">
      <c r="A5" s="185" t="s">
        <v>5</v>
      </c>
      <c r="B5" s="186"/>
      <c r="C5" s="71">
        <f t="shared" ref="C5:F5" si="0">+C6+C12</f>
        <v>278957</v>
      </c>
      <c r="D5" s="71">
        <f t="shared" si="0"/>
        <v>283429</v>
      </c>
      <c r="E5" s="71">
        <f t="shared" si="0"/>
        <v>272198</v>
      </c>
      <c r="F5" s="71">
        <f t="shared" si="0"/>
        <v>291297</v>
      </c>
      <c r="G5" s="71">
        <f t="shared" ref="G5:H5" si="1">+G6+G12</f>
        <v>9231</v>
      </c>
      <c r="H5" s="71">
        <f t="shared" si="1"/>
        <v>300528</v>
      </c>
      <c r="I5" s="72">
        <f t="shared" ref="I5" si="2">+H5/E5</f>
        <v>1.1040786486307761</v>
      </c>
      <c r="J5" s="73">
        <f t="shared" ref="J5:J19" si="3">+H5/F5</f>
        <v>1.0316893067899773</v>
      </c>
    </row>
    <row r="6" spans="1:10" x14ac:dyDescent="0.25">
      <c r="A6" s="187" t="s">
        <v>6</v>
      </c>
      <c r="B6" s="188"/>
      <c r="C6" s="15">
        <f t="shared" ref="C6:F6" si="4">SUM(C7:C11)</f>
        <v>233096</v>
      </c>
      <c r="D6" s="15">
        <f t="shared" si="4"/>
        <v>234142</v>
      </c>
      <c r="E6" s="15">
        <f t="shared" si="4"/>
        <v>227222</v>
      </c>
      <c r="F6" s="15">
        <f t="shared" si="4"/>
        <v>243165</v>
      </c>
      <c r="G6" s="15">
        <f t="shared" ref="G6:H6" si="5">SUM(G7:G11)</f>
        <v>9231</v>
      </c>
      <c r="H6" s="15">
        <f t="shared" si="5"/>
        <v>252396</v>
      </c>
      <c r="I6" s="16">
        <f>+H6/E6</f>
        <v>1.1107903284012992</v>
      </c>
      <c r="J6" s="74">
        <f t="shared" si="3"/>
        <v>1.0379618777373389</v>
      </c>
    </row>
    <row r="7" spans="1:10" x14ac:dyDescent="0.25">
      <c r="A7" s="75" t="s">
        <v>7</v>
      </c>
      <c r="B7" s="76" t="s">
        <v>8</v>
      </c>
      <c r="C7" s="15">
        <v>176771</v>
      </c>
      <c r="D7" s="15">
        <v>180403</v>
      </c>
      <c r="E7" s="15">
        <v>174967</v>
      </c>
      <c r="F7" s="15">
        <v>188247</v>
      </c>
      <c r="G7" s="15">
        <v>8655</v>
      </c>
      <c r="H7" s="15">
        <f>+F7+G7</f>
        <v>196902</v>
      </c>
      <c r="I7" s="16">
        <f>+H7/E7</f>
        <v>1.12536649768242</v>
      </c>
      <c r="J7" s="74">
        <f t="shared" si="3"/>
        <v>1.0459768283159891</v>
      </c>
    </row>
    <row r="8" spans="1:10" x14ac:dyDescent="0.25">
      <c r="A8" s="75" t="s">
        <v>9</v>
      </c>
      <c r="B8" s="76" t="s">
        <v>10</v>
      </c>
      <c r="C8" s="15">
        <v>30807</v>
      </c>
      <c r="D8" s="15">
        <v>30519</v>
      </c>
      <c r="E8" s="15">
        <v>29052</v>
      </c>
      <c r="F8" s="15">
        <v>27847</v>
      </c>
      <c r="G8" s="15">
        <v>219</v>
      </c>
      <c r="H8" s="15">
        <f t="shared" ref="H8:H19" si="6">+F8+G8</f>
        <v>28066</v>
      </c>
      <c r="I8" s="16">
        <f t="shared" ref="I8:I19" si="7">+H8/E8</f>
        <v>0.96606085639542894</v>
      </c>
      <c r="J8" s="74">
        <f t="shared" si="3"/>
        <v>1.0078644019104392</v>
      </c>
    </row>
    <row r="9" spans="1:10" x14ac:dyDescent="0.25">
      <c r="A9" s="75" t="s">
        <v>11</v>
      </c>
      <c r="B9" s="76" t="s">
        <v>12</v>
      </c>
      <c r="C9" s="15">
        <v>14351</v>
      </c>
      <c r="D9" s="15">
        <v>14776</v>
      </c>
      <c r="E9" s="90">
        <v>14759</v>
      </c>
      <c r="F9" s="15">
        <v>18882</v>
      </c>
      <c r="G9" s="15">
        <v>357</v>
      </c>
      <c r="H9" s="15">
        <f t="shared" si="6"/>
        <v>19239</v>
      </c>
      <c r="I9" s="16">
        <f t="shared" si="7"/>
        <v>1.3035436005149401</v>
      </c>
      <c r="J9" s="74">
        <f t="shared" si="3"/>
        <v>1.0189068954559899</v>
      </c>
    </row>
    <row r="10" spans="1:10" x14ac:dyDescent="0.25">
      <c r="A10" s="75" t="s">
        <v>13</v>
      </c>
      <c r="B10" s="76" t="s">
        <v>14</v>
      </c>
      <c r="C10" s="15">
        <v>10167</v>
      </c>
      <c r="D10" s="15">
        <v>7348</v>
      </c>
      <c r="E10" s="15">
        <v>7348</v>
      </c>
      <c r="F10" s="15">
        <v>8189</v>
      </c>
      <c r="G10" s="15"/>
      <c r="H10" s="15">
        <f t="shared" si="6"/>
        <v>8189</v>
      </c>
      <c r="I10" s="16">
        <f t="shared" si="7"/>
        <v>1.1144529123571039</v>
      </c>
      <c r="J10" s="74">
        <f t="shared" si="3"/>
        <v>1</v>
      </c>
    </row>
    <row r="11" spans="1:10" x14ac:dyDescent="0.25">
      <c r="A11" s="75" t="s">
        <v>15</v>
      </c>
      <c r="B11" s="76" t="s">
        <v>16</v>
      </c>
      <c r="C11" s="15">
        <v>1000</v>
      </c>
      <c r="D11" s="15">
        <v>1096</v>
      </c>
      <c r="E11" s="15">
        <v>1096</v>
      </c>
      <c r="F11" s="15"/>
      <c r="G11" s="15"/>
      <c r="H11" s="15">
        <f t="shared" si="6"/>
        <v>0</v>
      </c>
      <c r="I11" s="16">
        <f t="shared" si="7"/>
        <v>0</v>
      </c>
      <c r="J11" s="74"/>
    </row>
    <row r="12" spans="1:10" x14ac:dyDescent="0.25">
      <c r="A12" s="187" t="s">
        <v>17</v>
      </c>
      <c r="B12" s="188"/>
      <c r="C12" s="15">
        <f t="shared" ref="C12:F12" si="8">SUM(C13:C14)</f>
        <v>45861</v>
      </c>
      <c r="D12" s="15">
        <f t="shared" si="8"/>
        <v>49287</v>
      </c>
      <c r="E12" s="15">
        <f t="shared" si="8"/>
        <v>44976</v>
      </c>
      <c r="F12" s="15">
        <f t="shared" si="8"/>
        <v>48132</v>
      </c>
      <c r="G12" s="15">
        <f t="shared" ref="G12" si="9">SUM(G13:G14)</f>
        <v>0</v>
      </c>
      <c r="H12" s="15">
        <f>SUM(H13:H14)</f>
        <v>48132</v>
      </c>
      <c r="I12" s="16">
        <f t="shared" si="7"/>
        <v>1.07017075773746</v>
      </c>
      <c r="J12" s="74">
        <f t="shared" si="3"/>
        <v>1</v>
      </c>
    </row>
    <row r="13" spans="1:10" x14ac:dyDescent="0.25">
      <c r="A13" s="75" t="s">
        <v>7</v>
      </c>
      <c r="B13" s="76" t="s">
        <v>8</v>
      </c>
      <c r="C13" s="15">
        <v>39497</v>
      </c>
      <c r="D13" s="15">
        <v>42801</v>
      </c>
      <c r="E13" s="15">
        <v>39442</v>
      </c>
      <c r="F13" s="15">
        <v>41932</v>
      </c>
      <c r="G13" s="15"/>
      <c r="H13" s="15">
        <f t="shared" si="6"/>
        <v>41932</v>
      </c>
      <c r="I13" s="16">
        <f t="shared" si="7"/>
        <v>1.0631306728867704</v>
      </c>
      <c r="J13" s="74">
        <f t="shared" si="3"/>
        <v>1</v>
      </c>
    </row>
    <row r="14" spans="1:10" x14ac:dyDescent="0.25">
      <c r="A14" s="75" t="s">
        <v>9</v>
      </c>
      <c r="B14" s="76" t="s">
        <v>10</v>
      </c>
      <c r="C14" s="15">
        <v>6364</v>
      </c>
      <c r="D14" s="15">
        <v>6486</v>
      </c>
      <c r="E14" s="15">
        <v>5534</v>
      </c>
      <c r="F14" s="15">
        <v>6200</v>
      </c>
      <c r="G14" s="15"/>
      <c r="H14" s="15">
        <f t="shared" si="6"/>
        <v>6200</v>
      </c>
      <c r="I14" s="16">
        <f t="shared" si="7"/>
        <v>1.1203469461510662</v>
      </c>
      <c r="J14" s="74">
        <f t="shared" si="3"/>
        <v>1</v>
      </c>
    </row>
    <row r="15" spans="1:10" s="3" customFormat="1" ht="14.25" x14ac:dyDescent="0.25">
      <c r="A15" s="189" t="s">
        <v>188</v>
      </c>
      <c r="B15" s="190"/>
      <c r="C15" s="77">
        <f t="shared" ref="C15:F15" si="10">SUM(C16:C19)</f>
        <v>32617</v>
      </c>
      <c r="D15" s="77">
        <f t="shared" si="10"/>
        <v>68793</v>
      </c>
      <c r="E15" s="77">
        <f t="shared" si="10"/>
        <v>68078</v>
      </c>
      <c r="F15" s="77">
        <f t="shared" si="10"/>
        <v>37401</v>
      </c>
      <c r="G15" s="77">
        <f t="shared" ref="G15:H15" si="11">SUM(G16:G19)</f>
        <v>22262</v>
      </c>
      <c r="H15" s="77">
        <f t="shared" si="11"/>
        <v>59663</v>
      </c>
      <c r="I15" s="78">
        <f t="shared" si="7"/>
        <v>0.87639178589265254</v>
      </c>
      <c r="J15" s="79">
        <f t="shared" si="3"/>
        <v>1.595224726611588</v>
      </c>
    </row>
    <row r="16" spans="1:10" x14ac:dyDescent="0.25">
      <c r="A16" s="75" t="s">
        <v>7</v>
      </c>
      <c r="B16" s="76" t="s">
        <v>8</v>
      </c>
      <c r="C16" s="15"/>
      <c r="D16" s="15">
        <v>0</v>
      </c>
      <c r="E16" s="15"/>
      <c r="F16" s="15"/>
      <c r="G16" s="15">
        <v>5941</v>
      </c>
      <c r="H16" s="15">
        <f t="shared" si="6"/>
        <v>5941</v>
      </c>
      <c r="I16" s="16"/>
      <c r="J16" s="74"/>
    </row>
    <row r="17" spans="1:10" x14ac:dyDescent="0.25">
      <c r="A17" s="75" t="s">
        <v>9</v>
      </c>
      <c r="B17" s="76" t="s">
        <v>10</v>
      </c>
      <c r="C17" s="15"/>
      <c r="D17" s="15">
        <v>0</v>
      </c>
      <c r="E17" s="15"/>
      <c r="F17" s="15"/>
      <c r="G17" s="15">
        <v>181</v>
      </c>
      <c r="H17" s="15">
        <f t="shared" si="6"/>
        <v>181</v>
      </c>
      <c r="I17" s="16"/>
      <c r="J17" s="74"/>
    </row>
    <row r="18" spans="1:10" x14ac:dyDescent="0.25">
      <c r="A18" s="80" t="s">
        <v>11</v>
      </c>
      <c r="B18" s="81" t="s">
        <v>79</v>
      </c>
      <c r="C18" s="82">
        <f>10636+8798+6067+4927</f>
        <v>30428</v>
      </c>
      <c r="D18" s="83">
        <v>66604</v>
      </c>
      <c r="E18" s="149">
        <f>9299+133+40535+3737+7516+5633-964</f>
        <v>65889</v>
      </c>
      <c r="F18" s="82">
        <f>10858+7767+6264+10227</f>
        <v>35116</v>
      </c>
      <c r="G18" s="83">
        <f>200+6544+40+7+9349</f>
        <v>16140</v>
      </c>
      <c r="H18" s="15">
        <f t="shared" si="6"/>
        <v>51256</v>
      </c>
      <c r="I18" s="53">
        <f t="shared" si="7"/>
        <v>0.77791437113934037</v>
      </c>
      <c r="J18" s="74">
        <f t="shared" si="3"/>
        <v>1.4596195466454038</v>
      </c>
    </row>
    <row r="19" spans="1:10" ht="15.75" thickBot="1" x14ac:dyDescent="0.3">
      <c r="A19" s="84" t="s">
        <v>13</v>
      </c>
      <c r="B19" s="85" t="s">
        <v>197</v>
      </c>
      <c r="C19" s="35">
        <f>575+765+709+140</f>
        <v>2189</v>
      </c>
      <c r="D19" s="35">
        <v>2189</v>
      </c>
      <c r="E19" s="35">
        <v>2189</v>
      </c>
      <c r="F19" s="152">
        <f>580+771+823+111</f>
        <v>2285</v>
      </c>
      <c r="G19" s="35"/>
      <c r="H19" s="35">
        <f t="shared" si="6"/>
        <v>2285</v>
      </c>
      <c r="I19" s="36">
        <f t="shared" si="7"/>
        <v>1.0438556418455915</v>
      </c>
      <c r="J19" s="86">
        <f t="shared" si="3"/>
        <v>1</v>
      </c>
    </row>
    <row r="20" spans="1:10" ht="30" customHeight="1" thickBot="1" x14ac:dyDescent="0.3"/>
    <row r="21" spans="1:10" x14ac:dyDescent="0.25">
      <c r="A21" s="175" t="s">
        <v>193</v>
      </c>
      <c r="B21" s="176"/>
      <c r="C21" s="176" t="s">
        <v>187</v>
      </c>
      <c r="D21" s="176"/>
      <c r="E21" s="176"/>
      <c r="F21" s="156" t="s">
        <v>222</v>
      </c>
      <c r="G21" s="157"/>
      <c r="H21" s="158"/>
      <c r="I21" s="1" t="s">
        <v>4</v>
      </c>
      <c r="J21" s="2" t="s">
        <v>4</v>
      </c>
    </row>
    <row r="22" spans="1:10" ht="15" customHeight="1" x14ac:dyDescent="0.25">
      <c r="A22" s="169" t="s">
        <v>0</v>
      </c>
      <c r="B22" s="170"/>
      <c r="C22" s="159" t="s">
        <v>2</v>
      </c>
      <c r="D22" s="160" t="s">
        <v>206</v>
      </c>
      <c r="E22" s="160" t="s">
        <v>3</v>
      </c>
      <c r="F22" s="159" t="s">
        <v>2</v>
      </c>
      <c r="G22" s="159" t="s">
        <v>205</v>
      </c>
      <c r="H22" s="160" t="s">
        <v>206</v>
      </c>
      <c r="I22" s="161" t="s">
        <v>215</v>
      </c>
      <c r="J22" s="164" t="s">
        <v>216</v>
      </c>
    </row>
    <row r="23" spans="1:10" x14ac:dyDescent="0.25">
      <c r="A23" s="169" t="s">
        <v>18</v>
      </c>
      <c r="B23" s="170"/>
      <c r="C23" s="159"/>
      <c r="D23" s="160"/>
      <c r="E23" s="160"/>
      <c r="F23" s="159"/>
      <c r="G23" s="159"/>
      <c r="H23" s="160"/>
      <c r="I23" s="162"/>
      <c r="J23" s="165"/>
    </row>
    <row r="24" spans="1:10" ht="24.75" customHeight="1" x14ac:dyDescent="0.25">
      <c r="A24" s="167"/>
      <c r="B24" s="168"/>
      <c r="C24" s="69">
        <v>1</v>
      </c>
      <c r="D24" s="70">
        <v>2</v>
      </c>
      <c r="E24" s="70">
        <v>3</v>
      </c>
      <c r="F24" s="70">
        <v>4</v>
      </c>
      <c r="G24" s="69">
        <v>5</v>
      </c>
      <c r="H24" s="70">
        <v>6</v>
      </c>
      <c r="I24" s="163"/>
      <c r="J24" s="166"/>
    </row>
    <row r="25" spans="1:10" s="3" customFormat="1" ht="28.9" customHeight="1" x14ac:dyDescent="0.25">
      <c r="A25" s="177" t="s">
        <v>28</v>
      </c>
      <c r="B25" s="178"/>
      <c r="C25" s="87">
        <f t="shared" ref="C25:F25" si="12">+C26+C33+C37</f>
        <v>318382</v>
      </c>
      <c r="D25" s="87">
        <f t="shared" si="12"/>
        <v>291945</v>
      </c>
      <c r="E25" s="87">
        <f t="shared" si="12"/>
        <v>287045</v>
      </c>
      <c r="F25" s="87">
        <f t="shared" si="12"/>
        <v>324933</v>
      </c>
      <c r="G25" s="87">
        <f t="shared" ref="G25:H25" si="13">+G26+G33+G37</f>
        <v>2887</v>
      </c>
      <c r="H25" s="87">
        <f t="shared" si="13"/>
        <v>327820</v>
      </c>
      <c r="I25" s="88">
        <f t="shared" ref="I25:I38" si="14">+H25/E25</f>
        <v>1.1420508979428312</v>
      </c>
      <c r="J25" s="89">
        <f t="shared" ref="J25:J36" si="15">+H25/F25</f>
        <v>1.0088849085811538</v>
      </c>
    </row>
    <row r="26" spans="1:10" s="92" customFormat="1" x14ac:dyDescent="0.25">
      <c r="A26" s="179" t="s">
        <v>19</v>
      </c>
      <c r="B26" s="180"/>
      <c r="C26" s="90">
        <f t="shared" ref="C26:F26" si="16">SUM(C27:C32)</f>
        <v>223085</v>
      </c>
      <c r="D26" s="90">
        <f t="shared" si="16"/>
        <v>213206</v>
      </c>
      <c r="E26" s="90">
        <f t="shared" si="16"/>
        <v>210591</v>
      </c>
      <c r="F26" s="90">
        <f t="shared" si="16"/>
        <v>239527</v>
      </c>
      <c r="G26" s="90">
        <f t="shared" ref="G26:H26" si="17">SUM(G27:G32)</f>
        <v>2196</v>
      </c>
      <c r="H26" s="90">
        <f t="shared" si="17"/>
        <v>241723</v>
      </c>
      <c r="I26" s="16">
        <f t="shared" si="14"/>
        <v>1.1478315787474298</v>
      </c>
      <c r="J26" s="91">
        <f t="shared" si="15"/>
        <v>1.0091680687354661</v>
      </c>
    </row>
    <row r="27" spans="1:10" x14ac:dyDescent="0.25">
      <c r="A27" s="75" t="s">
        <v>7</v>
      </c>
      <c r="B27" s="76" t="s">
        <v>8</v>
      </c>
      <c r="C27" s="15">
        <v>137674</v>
      </c>
      <c r="D27" s="15">
        <v>136918</v>
      </c>
      <c r="E27" s="15">
        <v>135674</v>
      </c>
      <c r="F27" s="150">
        <f>151982+7919</f>
        <v>159901</v>
      </c>
      <c r="G27" s="15">
        <v>-100</v>
      </c>
      <c r="H27" s="15">
        <f>+F27+G27</f>
        <v>159801</v>
      </c>
      <c r="I27" s="16">
        <f t="shared" si="14"/>
        <v>1.1778306823709774</v>
      </c>
      <c r="J27" s="91">
        <f t="shared" si="15"/>
        <v>0.99937461304181963</v>
      </c>
    </row>
    <row r="28" spans="1:10" x14ac:dyDescent="0.25">
      <c r="A28" s="75" t="s">
        <v>9</v>
      </c>
      <c r="B28" s="76" t="s">
        <v>10</v>
      </c>
      <c r="C28" s="15">
        <v>24342</v>
      </c>
      <c r="D28" s="15">
        <v>25096</v>
      </c>
      <c r="E28" s="15">
        <v>24214</v>
      </c>
      <c r="F28" s="150">
        <f>22834+1100</f>
        <v>23934</v>
      </c>
      <c r="G28" s="15"/>
      <c r="H28" s="15">
        <f t="shared" ref="H28:H32" si="18">+F28+G28</f>
        <v>23934</v>
      </c>
      <c r="I28" s="16">
        <f t="shared" si="14"/>
        <v>0.988436441727926</v>
      </c>
      <c r="J28" s="91">
        <f t="shared" si="15"/>
        <v>1</v>
      </c>
    </row>
    <row r="29" spans="1:10" x14ac:dyDescent="0.25">
      <c r="A29" s="75" t="s">
        <v>11</v>
      </c>
      <c r="B29" s="76" t="s">
        <v>12</v>
      </c>
      <c r="C29" s="15">
        <v>4789</v>
      </c>
      <c r="D29" s="15">
        <v>5144</v>
      </c>
      <c r="E29" s="15">
        <v>4735</v>
      </c>
      <c r="F29" s="15">
        <v>4919</v>
      </c>
      <c r="G29" s="15">
        <v>170</v>
      </c>
      <c r="H29" s="15">
        <f t="shared" si="18"/>
        <v>5089</v>
      </c>
      <c r="I29" s="16">
        <f t="shared" si="14"/>
        <v>1.0747624076029567</v>
      </c>
      <c r="J29" s="91">
        <f t="shared" si="15"/>
        <v>1.0345598698922545</v>
      </c>
    </row>
    <row r="30" spans="1:10" x14ac:dyDescent="0.25">
      <c r="A30" s="75" t="s">
        <v>20</v>
      </c>
      <c r="B30" s="76" t="s">
        <v>21</v>
      </c>
      <c r="C30" s="15">
        <v>38956</v>
      </c>
      <c r="D30" s="15">
        <v>30483</v>
      </c>
      <c r="E30" s="15">
        <v>30483</v>
      </c>
      <c r="F30" s="15">
        <v>34220</v>
      </c>
      <c r="G30" s="15"/>
      <c r="H30" s="15">
        <f t="shared" si="18"/>
        <v>34220</v>
      </c>
      <c r="I30" s="16">
        <f t="shared" si="14"/>
        <v>1.1225929206442935</v>
      </c>
      <c r="J30" s="91">
        <f t="shared" si="15"/>
        <v>1</v>
      </c>
    </row>
    <row r="31" spans="1:10" x14ac:dyDescent="0.25">
      <c r="A31" s="75" t="s">
        <v>13</v>
      </c>
      <c r="B31" s="76" t="s">
        <v>22</v>
      </c>
      <c r="C31" s="15">
        <v>16324</v>
      </c>
      <c r="D31" s="15">
        <v>14565</v>
      </c>
      <c r="E31" s="15">
        <v>14565</v>
      </c>
      <c r="F31" s="15">
        <v>16553</v>
      </c>
      <c r="G31" s="15"/>
      <c r="H31" s="15">
        <f t="shared" si="18"/>
        <v>16553</v>
      </c>
      <c r="I31" s="16">
        <f t="shared" si="14"/>
        <v>1.1364915894267078</v>
      </c>
      <c r="J31" s="91">
        <f t="shared" si="15"/>
        <v>1</v>
      </c>
    </row>
    <row r="32" spans="1:10" x14ac:dyDescent="0.25">
      <c r="A32" s="75" t="s">
        <v>15</v>
      </c>
      <c r="B32" s="76" t="s">
        <v>16</v>
      </c>
      <c r="C32" s="15">
        <v>1000</v>
      </c>
      <c r="D32" s="15">
        <v>1000</v>
      </c>
      <c r="E32" s="15">
        <v>920</v>
      </c>
      <c r="F32" s="15"/>
      <c r="G32" s="15">
        <v>2126</v>
      </c>
      <c r="H32" s="15">
        <f t="shared" si="18"/>
        <v>2126</v>
      </c>
      <c r="I32" s="16">
        <f t="shared" si="14"/>
        <v>2.3108695652173914</v>
      </c>
      <c r="J32" s="91"/>
    </row>
    <row r="33" spans="1:10" x14ac:dyDescent="0.25">
      <c r="A33" s="181" t="s">
        <v>23</v>
      </c>
      <c r="B33" s="182"/>
      <c r="C33" s="15">
        <f t="shared" ref="C33:F33" si="19">SUM(C34:C36)</f>
        <v>94595</v>
      </c>
      <c r="D33" s="15">
        <f t="shared" si="19"/>
        <v>78037</v>
      </c>
      <c r="E33" s="15">
        <f t="shared" si="19"/>
        <v>75752</v>
      </c>
      <c r="F33" s="15">
        <f t="shared" si="19"/>
        <v>85406</v>
      </c>
      <c r="G33" s="15">
        <f t="shared" ref="G33:H33" si="20">SUM(G34:G36)</f>
        <v>691</v>
      </c>
      <c r="H33" s="15">
        <f t="shared" si="20"/>
        <v>86097</v>
      </c>
      <c r="I33" s="16">
        <f t="shared" si="14"/>
        <v>1.1365640511141619</v>
      </c>
      <c r="J33" s="91">
        <f t="shared" si="15"/>
        <v>1.0080907664566892</v>
      </c>
    </row>
    <row r="34" spans="1:10" x14ac:dyDescent="0.25">
      <c r="A34" s="75" t="s">
        <v>11</v>
      </c>
      <c r="B34" s="76" t="s">
        <v>24</v>
      </c>
      <c r="C34" s="15">
        <v>70916</v>
      </c>
      <c r="D34" s="15">
        <v>61908</v>
      </c>
      <c r="E34" s="15">
        <v>59941</v>
      </c>
      <c r="F34" s="15">
        <v>63350</v>
      </c>
      <c r="G34" s="15">
        <v>230</v>
      </c>
      <c r="H34" s="15">
        <f t="shared" ref="H34:H36" si="21">+F34+G34</f>
        <v>63580</v>
      </c>
      <c r="I34" s="16">
        <f t="shared" si="14"/>
        <v>1.0607096978695718</v>
      </c>
      <c r="J34" s="91">
        <f t="shared" si="15"/>
        <v>1.0036306235201262</v>
      </c>
    </row>
    <row r="35" spans="1:10" x14ac:dyDescent="0.25">
      <c r="A35" s="75" t="s">
        <v>11</v>
      </c>
      <c r="B35" s="76" t="s">
        <v>198</v>
      </c>
      <c r="C35" s="15">
        <v>23129</v>
      </c>
      <c r="D35" s="15">
        <v>15304</v>
      </c>
      <c r="E35" s="15">
        <f>11339+3061+586</f>
        <v>14986</v>
      </c>
      <c r="F35" s="15">
        <f>16278+4395+883</f>
        <v>21556</v>
      </c>
      <c r="G35" s="15"/>
      <c r="H35" s="15">
        <f t="shared" si="21"/>
        <v>21556</v>
      </c>
      <c r="I35" s="16">
        <f t="shared" si="14"/>
        <v>1.4384091819031095</v>
      </c>
      <c r="J35" s="91">
        <f t="shared" si="15"/>
        <v>1</v>
      </c>
    </row>
    <row r="36" spans="1:10" x14ac:dyDescent="0.25">
      <c r="A36" s="75" t="s">
        <v>25</v>
      </c>
      <c r="B36" s="76" t="s">
        <v>26</v>
      </c>
      <c r="C36" s="15">
        <v>550</v>
      </c>
      <c r="D36" s="15">
        <v>825</v>
      </c>
      <c r="E36" s="15">
        <v>825</v>
      </c>
      <c r="F36" s="15">
        <v>500</v>
      </c>
      <c r="G36" s="15">
        <v>461</v>
      </c>
      <c r="H36" s="15">
        <f t="shared" si="21"/>
        <v>961</v>
      </c>
      <c r="I36" s="16">
        <f t="shared" si="14"/>
        <v>1.1648484848484848</v>
      </c>
      <c r="J36" s="91">
        <f t="shared" si="15"/>
        <v>1.9219999999999999</v>
      </c>
    </row>
    <row r="37" spans="1:10" ht="30.75" customHeight="1" x14ac:dyDescent="0.25">
      <c r="A37" s="183" t="s">
        <v>27</v>
      </c>
      <c r="B37" s="184"/>
      <c r="C37" s="15">
        <f t="shared" ref="C37:F37" si="22">SUM(C38:C39)</f>
        <v>702</v>
      </c>
      <c r="D37" s="15">
        <f t="shared" si="22"/>
        <v>702</v>
      </c>
      <c r="E37" s="15">
        <f t="shared" si="22"/>
        <v>702</v>
      </c>
      <c r="F37" s="15">
        <f t="shared" si="22"/>
        <v>0</v>
      </c>
      <c r="G37" s="15">
        <f t="shared" ref="G37:H37" si="23">SUM(G38:G39)</f>
        <v>0</v>
      </c>
      <c r="H37" s="15">
        <f t="shared" si="23"/>
        <v>0</v>
      </c>
      <c r="I37" s="16">
        <f t="shared" si="14"/>
        <v>0</v>
      </c>
      <c r="J37" s="91"/>
    </row>
    <row r="38" spans="1:10" x14ac:dyDescent="0.25">
      <c r="A38" s="75" t="s">
        <v>13</v>
      </c>
      <c r="B38" s="76" t="s">
        <v>29</v>
      </c>
      <c r="C38" s="15">
        <v>702</v>
      </c>
      <c r="D38" s="15">
        <v>702</v>
      </c>
      <c r="E38" s="15">
        <v>702</v>
      </c>
      <c r="F38" s="15"/>
      <c r="G38" s="15"/>
      <c r="H38" s="15">
        <f>+F38+G38</f>
        <v>0</v>
      </c>
      <c r="I38" s="16">
        <f t="shared" si="14"/>
        <v>0</v>
      </c>
      <c r="J38" s="91"/>
    </row>
    <row r="39" spans="1:10" ht="15.75" thickBot="1" x14ac:dyDescent="0.3">
      <c r="A39" s="84" t="s">
        <v>13</v>
      </c>
      <c r="B39" s="85" t="s">
        <v>30</v>
      </c>
      <c r="C39" s="35"/>
      <c r="D39" s="35"/>
      <c r="E39" s="35"/>
      <c r="F39" s="35"/>
      <c r="G39" s="35"/>
      <c r="H39" s="35"/>
      <c r="I39" s="36"/>
      <c r="J39" s="93"/>
    </row>
    <row r="40" spans="1:10" ht="30" customHeight="1" thickBot="1" x14ac:dyDescent="0.3"/>
    <row r="41" spans="1:10" s="3" customFormat="1" ht="14.25" x14ac:dyDescent="0.25">
      <c r="A41" s="175" t="s">
        <v>193</v>
      </c>
      <c r="B41" s="176"/>
      <c r="C41" s="176" t="s">
        <v>187</v>
      </c>
      <c r="D41" s="176"/>
      <c r="E41" s="176"/>
      <c r="F41" s="156" t="s">
        <v>222</v>
      </c>
      <c r="G41" s="157"/>
      <c r="H41" s="158"/>
      <c r="I41" s="1" t="s">
        <v>4</v>
      </c>
      <c r="J41" s="2" t="s">
        <v>4</v>
      </c>
    </row>
    <row r="42" spans="1:10" ht="15" customHeight="1" x14ac:dyDescent="0.25">
      <c r="A42" s="169" t="s">
        <v>0</v>
      </c>
      <c r="B42" s="170"/>
      <c r="C42" s="159" t="s">
        <v>2</v>
      </c>
      <c r="D42" s="160" t="s">
        <v>206</v>
      </c>
      <c r="E42" s="160" t="s">
        <v>3</v>
      </c>
      <c r="F42" s="159" t="s">
        <v>2</v>
      </c>
      <c r="G42" s="159" t="s">
        <v>205</v>
      </c>
      <c r="H42" s="160" t="s">
        <v>206</v>
      </c>
      <c r="I42" s="161" t="s">
        <v>215</v>
      </c>
      <c r="J42" s="164" t="s">
        <v>216</v>
      </c>
    </row>
    <row r="43" spans="1:10" x14ac:dyDescent="0.25">
      <c r="A43" s="169" t="s">
        <v>31</v>
      </c>
      <c r="B43" s="170"/>
      <c r="C43" s="159"/>
      <c r="D43" s="160"/>
      <c r="E43" s="160"/>
      <c r="F43" s="159"/>
      <c r="G43" s="159"/>
      <c r="H43" s="160"/>
      <c r="I43" s="162"/>
      <c r="J43" s="165"/>
    </row>
    <row r="44" spans="1:10" ht="22.5" customHeight="1" x14ac:dyDescent="0.25">
      <c r="A44" s="167"/>
      <c r="B44" s="168"/>
      <c r="C44" s="69">
        <v>1</v>
      </c>
      <c r="D44" s="70">
        <v>2</v>
      </c>
      <c r="E44" s="70">
        <v>3</v>
      </c>
      <c r="F44" s="70">
        <v>4</v>
      </c>
      <c r="G44" s="69">
        <v>5</v>
      </c>
      <c r="H44" s="70">
        <v>6</v>
      </c>
      <c r="I44" s="163"/>
      <c r="J44" s="166"/>
    </row>
    <row r="45" spans="1:10" s="3" customFormat="1" ht="28.9" customHeight="1" x14ac:dyDescent="0.25">
      <c r="A45" s="171" t="s">
        <v>32</v>
      </c>
      <c r="B45" s="172"/>
      <c r="C45" s="94">
        <f t="shared" ref="C45:E45" si="24">SUM(C46:C55)</f>
        <v>68421</v>
      </c>
      <c r="D45" s="94">
        <f t="shared" si="24"/>
        <v>79378</v>
      </c>
      <c r="E45" s="94">
        <f t="shared" si="24"/>
        <v>78378</v>
      </c>
      <c r="F45" s="94">
        <f t="shared" ref="F45" si="25">SUM(F46:F53)</f>
        <v>73937</v>
      </c>
      <c r="G45" s="94">
        <f t="shared" ref="G45:H45" si="26">SUM(G46:G55)</f>
        <v>0</v>
      </c>
      <c r="H45" s="94">
        <f t="shared" si="26"/>
        <v>73937</v>
      </c>
      <c r="I45" s="95">
        <f t="shared" ref="I45:I59" si="27">+H45/E45</f>
        <v>0.94333869197989229</v>
      </c>
      <c r="J45" s="96">
        <f t="shared" ref="J45:J51" si="28">+H45/F45</f>
        <v>1</v>
      </c>
    </row>
    <row r="46" spans="1:10" x14ac:dyDescent="0.25">
      <c r="A46" s="75" t="s">
        <v>13</v>
      </c>
      <c r="B46" s="76" t="s">
        <v>33</v>
      </c>
      <c r="C46" s="15">
        <v>7488</v>
      </c>
      <c r="D46" s="15">
        <v>3355</v>
      </c>
      <c r="E46" s="15">
        <v>3355</v>
      </c>
      <c r="F46" s="15">
        <v>4724</v>
      </c>
      <c r="G46" s="15"/>
      <c r="H46" s="15">
        <f t="shared" ref="H46:H55" si="29">+F46+G46</f>
        <v>4724</v>
      </c>
      <c r="I46" s="16">
        <f t="shared" si="27"/>
        <v>1.408047690014903</v>
      </c>
      <c r="J46" s="97">
        <f t="shared" si="28"/>
        <v>1</v>
      </c>
    </row>
    <row r="47" spans="1:10" x14ac:dyDescent="0.25">
      <c r="A47" s="75" t="s">
        <v>13</v>
      </c>
      <c r="B47" s="76" t="s">
        <v>34</v>
      </c>
      <c r="C47" s="15">
        <v>43596</v>
      </c>
      <c r="D47" s="15">
        <v>34484</v>
      </c>
      <c r="E47" s="15">
        <v>34484</v>
      </c>
      <c r="F47" s="15">
        <v>39138</v>
      </c>
      <c r="G47" s="15"/>
      <c r="H47" s="15">
        <f t="shared" si="29"/>
        <v>39138</v>
      </c>
      <c r="I47" s="16">
        <f t="shared" si="27"/>
        <v>1.1349611413989096</v>
      </c>
      <c r="J47" s="97">
        <f t="shared" si="28"/>
        <v>1</v>
      </c>
    </row>
    <row r="48" spans="1:10" x14ac:dyDescent="0.25">
      <c r="A48" s="75" t="s">
        <v>13</v>
      </c>
      <c r="B48" s="76" t="s">
        <v>35</v>
      </c>
      <c r="C48" s="15">
        <v>4356</v>
      </c>
      <c r="D48" s="15">
        <v>5957</v>
      </c>
      <c r="E48" s="15">
        <v>5957</v>
      </c>
      <c r="F48" s="15">
        <v>9176</v>
      </c>
      <c r="G48" s="15"/>
      <c r="H48" s="15">
        <f t="shared" si="29"/>
        <v>9176</v>
      </c>
      <c r="I48" s="16">
        <f t="shared" si="27"/>
        <v>1.5403726708074534</v>
      </c>
      <c r="J48" s="97">
        <f t="shared" si="28"/>
        <v>1</v>
      </c>
    </row>
    <row r="49" spans="1:10" x14ac:dyDescent="0.25">
      <c r="A49" s="75" t="s">
        <v>13</v>
      </c>
      <c r="B49" s="76" t="s">
        <v>191</v>
      </c>
      <c r="C49" s="15">
        <v>4031</v>
      </c>
      <c r="D49" s="15">
        <v>2891</v>
      </c>
      <c r="E49" s="15">
        <v>2891</v>
      </c>
      <c r="F49" s="15">
        <v>2178</v>
      </c>
      <c r="G49" s="15"/>
      <c r="H49" s="15">
        <f t="shared" si="29"/>
        <v>2178</v>
      </c>
      <c r="I49" s="16">
        <f t="shared" si="27"/>
        <v>0.75337253545485994</v>
      </c>
      <c r="J49" s="97">
        <f t="shared" si="28"/>
        <v>1</v>
      </c>
    </row>
    <row r="50" spans="1:10" x14ac:dyDescent="0.25">
      <c r="A50" s="75" t="s">
        <v>13</v>
      </c>
      <c r="B50" s="76" t="s">
        <v>199</v>
      </c>
      <c r="C50" s="15">
        <v>7602</v>
      </c>
      <c r="D50" s="15">
        <v>16591</v>
      </c>
      <c r="E50" s="15">
        <v>16591</v>
      </c>
      <c r="F50" s="90">
        <f>30564-1028-11843</f>
        <v>17693</v>
      </c>
      <c r="G50" s="15"/>
      <c r="H50" s="15">
        <f t="shared" si="29"/>
        <v>17693</v>
      </c>
      <c r="I50" s="16">
        <f t="shared" si="27"/>
        <v>1.0664215538544994</v>
      </c>
      <c r="J50" s="97">
        <f t="shared" si="28"/>
        <v>1</v>
      </c>
    </row>
    <row r="51" spans="1:10" x14ac:dyDescent="0.25">
      <c r="A51" s="75" t="s">
        <v>13</v>
      </c>
      <c r="B51" s="76" t="s">
        <v>200</v>
      </c>
      <c r="C51" s="15">
        <v>348</v>
      </c>
      <c r="D51" s="15">
        <v>5716</v>
      </c>
      <c r="E51" s="15">
        <v>5716</v>
      </c>
      <c r="F51" s="15">
        <v>1028</v>
      </c>
      <c r="G51" s="15"/>
      <c r="H51" s="15">
        <f t="shared" si="29"/>
        <v>1028</v>
      </c>
      <c r="I51" s="16">
        <f t="shared" si="27"/>
        <v>0.17984604618614417</v>
      </c>
      <c r="J51" s="97">
        <f t="shared" si="28"/>
        <v>1</v>
      </c>
    </row>
    <row r="52" spans="1:10" x14ac:dyDescent="0.25">
      <c r="A52" s="75" t="s">
        <v>13</v>
      </c>
      <c r="B52" s="76" t="s">
        <v>220</v>
      </c>
      <c r="C52" s="15"/>
      <c r="D52" s="15">
        <v>2092</v>
      </c>
      <c r="E52" s="15">
        <v>2092</v>
      </c>
      <c r="F52" s="15"/>
      <c r="G52" s="15"/>
      <c r="H52" s="15">
        <f t="shared" si="29"/>
        <v>0</v>
      </c>
      <c r="I52" s="16"/>
      <c r="J52" s="97"/>
    </row>
    <row r="53" spans="1:10" x14ac:dyDescent="0.25">
      <c r="A53" s="75" t="s">
        <v>148</v>
      </c>
      <c r="B53" s="76" t="s">
        <v>221</v>
      </c>
      <c r="C53" s="15"/>
      <c r="D53" s="15">
        <v>5887</v>
      </c>
      <c r="E53" s="15">
        <v>5887</v>
      </c>
      <c r="F53" s="15"/>
      <c r="G53" s="15"/>
      <c r="H53" s="15">
        <f t="shared" ref="H53" si="30">+F53+G53</f>
        <v>0</v>
      </c>
      <c r="I53" s="16"/>
      <c r="J53" s="97"/>
    </row>
    <row r="54" spans="1:10" x14ac:dyDescent="0.25">
      <c r="A54" s="75" t="s">
        <v>148</v>
      </c>
      <c r="B54" s="76" t="s">
        <v>149</v>
      </c>
      <c r="C54" s="15">
        <v>1000</v>
      </c>
      <c r="D54" s="15">
        <v>1000</v>
      </c>
      <c r="E54" s="15"/>
      <c r="F54" s="15"/>
      <c r="G54" s="15"/>
      <c r="H54" s="15">
        <f t="shared" si="29"/>
        <v>0</v>
      </c>
      <c r="I54" s="16"/>
      <c r="J54" s="97"/>
    </row>
    <row r="55" spans="1:10" x14ac:dyDescent="0.25">
      <c r="A55" s="75" t="s">
        <v>13</v>
      </c>
      <c r="B55" s="76" t="s">
        <v>36</v>
      </c>
      <c r="C55" s="15"/>
      <c r="D55" s="15">
        <v>1405</v>
      </c>
      <c r="E55" s="15">
        <v>1405</v>
      </c>
      <c r="F55" s="15"/>
      <c r="G55" s="15"/>
      <c r="H55" s="15">
        <f t="shared" si="29"/>
        <v>0</v>
      </c>
      <c r="I55" s="16"/>
      <c r="J55" s="98"/>
    </row>
    <row r="56" spans="1:10" s="3" customFormat="1" ht="29.45" customHeight="1" x14ac:dyDescent="0.25">
      <c r="A56" s="173" t="s">
        <v>37</v>
      </c>
      <c r="B56" s="174"/>
      <c r="C56" s="99">
        <f t="shared" ref="C56:E56" si="31">SUM(C57:C59)</f>
        <v>46203</v>
      </c>
      <c r="D56" s="99">
        <f t="shared" si="31"/>
        <v>49852</v>
      </c>
      <c r="E56" s="99">
        <f t="shared" si="31"/>
        <v>49852</v>
      </c>
      <c r="F56" s="99">
        <f t="shared" ref="F56:H56" si="32">SUM(F57:F59)</f>
        <v>49891</v>
      </c>
      <c r="G56" s="99">
        <f t="shared" si="32"/>
        <v>0</v>
      </c>
      <c r="H56" s="99">
        <f t="shared" si="32"/>
        <v>49891</v>
      </c>
      <c r="I56" s="100">
        <f t="shared" si="27"/>
        <v>1.0007823156543367</v>
      </c>
      <c r="J56" s="101">
        <f>+H56/F56</f>
        <v>1</v>
      </c>
    </row>
    <row r="57" spans="1:10" x14ac:dyDescent="0.25">
      <c r="A57" s="75" t="s">
        <v>13</v>
      </c>
      <c r="B57" s="76" t="s">
        <v>38</v>
      </c>
      <c r="C57" s="15">
        <v>12649</v>
      </c>
      <c r="D57" s="15">
        <v>8770</v>
      </c>
      <c r="E57" s="15">
        <v>8770</v>
      </c>
      <c r="F57" s="15">
        <v>7932</v>
      </c>
      <c r="G57" s="15"/>
      <c r="H57" s="15">
        <f t="shared" ref="H57:H58" si="33">+F57+G57</f>
        <v>7932</v>
      </c>
      <c r="I57" s="16">
        <f t="shared" si="27"/>
        <v>0.9044469783352338</v>
      </c>
      <c r="J57" s="97">
        <f>+H57/F57</f>
        <v>1</v>
      </c>
    </row>
    <row r="58" spans="1:10" x14ac:dyDescent="0.25">
      <c r="A58" s="75" t="s">
        <v>13</v>
      </c>
      <c r="B58" s="76" t="s">
        <v>39</v>
      </c>
      <c r="C58" s="15">
        <f>8962+4961</f>
        <v>13923</v>
      </c>
      <c r="D58" s="15">
        <v>22833</v>
      </c>
      <c r="E58" s="15">
        <v>22833</v>
      </c>
      <c r="F58" s="15">
        <v>8859</v>
      </c>
      <c r="G58" s="15"/>
      <c r="H58" s="15">
        <f t="shared" si="33"/>
        <v>8859</v>
      </c>
      <c r="I58" s="16">
        <f t="shared" si="27"/>
        <v>0.38799106556300089</v>
      </c>
      <c r="J58" s="97">
        <f>+H58/F58</f>
        <v>1</v>
      </c>
    </row>
    <row r="59" spans="1:10" ht="15.75" thickBot="1" x14ac:dyDescent="0.3">
      <c r="A59" s="84" t="s">
        <v>13</v>
      </c>
      <c r="B59" s="85" t="s">
        <v>40</v>
      </c>
      <c r="C59" s="35">
        <v>19631</v>
      </c>
      <c r="D59" s="35">
        <v>18249</v>
      </c>
      <c r="E59" s="35">
        <v>18249</v>
      </c>
      <c r="F59" s="35">
        <v>33100</v>
      </c>
      <c r="G59" s="35"/>
      <c r="H59" s="35">
        <f t="shared" ref="H59" si="34">+F59+G59</f>
        <v>33100</v>
      </c>
      <c r="I59" s="36">
        <f t="shared" si="27"/>
        <v>1.8137980163296619</v>
      </c>
      <c r="J59" s="102">
        <f>+H59/F59</f>
        <v>1</v>
      </c>
    </row>
    <row r="60" spans="1:10" ht="30" customHeight="1" thickBot="1" x14ac:dyDescent="0.3"/>
    <row r="61" spans="1:10" s="3" customFormat="1" ht="14.25" x14ac:dyDescent="0.25">
      <c r="A61" s="175" t="s">
        <v>193</v>
      </c>
      <c r="B61" s="176"/>
      <c r="C61" s="176" t="s">
        <v>187</v>
      </c>
      <c r="D61" s="176"/>
      <c r="E61" s="176"/>
      <c r="F61" s="156" t="s">
        <v>222</v>
      </c>
      <c r="G61" s="157"/>
      <c r="H61" s="158"/>
      <c r="I61" s="1" t="s">
        <v>4</v>
      </c>
      <c r="J61" s="2" t="s">
        <v>4</v>
      </c>
    </row>
    <row r="62" spans="1:10" ht="15" customHeight="1" x14ac:dyDescent="0.25">
      <c r="A62" s="169" t="s">
        <v>0</v>
      </c>
      <c r="B62" s="170"/>
      <c r="C62" s="159" t="s">
        <v>2</v>
      </c>
      <c r="D62" s="160" t="s">
        <v>206</v>
      </c>
      <c r="E62" s="160" t="s">
        <v>3</v>
      </c>
      <c r="F62" s="159" t="s">
        <v>2</v>
      </c>
      <c r="G62" s="159" t="s">
        <v>205</v>
      </c>
      <c r="H62" s="160" t="s">
        <v>206</v>
      </c>
      <c r="I62" s="161" t="s">
        <v>215</v>
      </c>
      <c r="J62" s="164" t="s">
        <v>216</v>
      </c>
    </row>
    <row r="63" spans="1:10" x14ac:dyDescent="0.25">
      <c r="A63" s="169" t="s">
        <v>41</v>
      </c>
      <c r="B63" s="170"/>
      <c r="C63" s="159"/>
      <c r="D63" s="160"/>
      <c r="E63" s="160"/>
      <c r="F63" s="159"/>
      <c r="G63" s="159"/>
      <c r="H63" s="160"/>
      <c r="I63" s="162"/>
      <c r="J63" s="165"/>
    </row>
    <row r="64" spans="1:10" ht="24.75" customHeight="1" x14ac:dyDescent="0.25">
      <c r="A64" s="167"/>
      <c r="B64" s="168"/>
      <c r="C64" s="69">
        <v>1</v>
      </c>
      <c r="D64" s="70">
        <v>2</v>
      </c>
      <c r="E64" s="70">
        <v>3</v>
      </c>
      <c r="F64" s="70">
        <v>4</v>
      </c>
      <c r="G64" s="69">
        <v>5</v>
      </c>
      <c r="H64" s="70">
        <v>6</v>
      </c>
      <c r="I64" s="163"/>
      <c r="J64" s="166"/>
    </row>
    <row r="65" spans="1:10" s="3" customFormat="1" ht="30" customHeight="1" x14ac:dyDescent="0.25">
      <c r="A65" s="191" t="s">
        <v>42</v>
      </c>
      <c r="B65" s="192"/>
      <c r="C65" s="103">
        <f t="shared" ref="C65:F65" si="35">SUM(C66:C69)</f>
        <v>119506</v>
      </c>
      <c r="D65" s="103">
        <f t="shared" si="35"/>
        <v>163581</v>
      </c>
      <c r="E65" s="103">
        <f t="shared" si="35"/>
        <v>162293</v>
      </c>
      <c r="F65" s="103">
        <f t="shared" si="35"/>
        <v>151172</v>
      </c>
      <c r="G65" s="103">
        <f t="shared" ref="G65:H65" si="36">SUM(G66:G69)</f>
        <v>0</v>
      </c>
      <c r="H65" s="103">
        <f t="shared" si="36"/>
        <v>151172</v>
      </c>
      <c r="I65" s="104">
        <f t="shared" ref="I65:I79" si="37">+H65/E65</f>
        <v>0.93147578761868965</v>
      </c>
      <c r="J65" s="105">
        <f t="shared" ref="J65:J79" si="38">+H65/F65</f>
        <v>1</v>
      </c>
    </row>
    <row r="66" spans="1:10" x14ac:dyDescent="0.25">
      <c r="A66" s="75" t="s">
        <v>25</v>
      </c>
      <c r="B66" s="76" t="s">
        <v>201</v>
      </c>
      <c r="C66" s="15">
        <v>5333</v>
      </c>
      <c r="D66" s="15">
        <v>6333</v>
      </c>
      <c r="E66" s="15">
        <v>5111</v>
      </c>
      <c r="F66" s="15">
        <v>4278</v>
      </c>
      <c r="G66" s="15"/>
      <c r="H66" s="15">
        <f t="shared" ref="H66:H69" si="39">+F66+G66</f>
        <v>4278</v>
      </c>
      <c r="I66" s="16">
        <f t="shared" si="37"/>
        <v>0.83701819604774019</v>
      </c>
      <c r="J66" s="97">
        <f t="shared" si="38"/>
        <v>1</v>
      </c>
    </row>
    <row r="67" spans="1:10" x14ac:dyDescent="0.25">
      <c r="A67" s="75" t="s">
        <v>13</v>
      </c>
      <c r="B67" s="76" t="s">
        <v>202</v>
      </c>
      <c r="C67" s="15">
        <v>105913</v>
      </c>
      <c r="D67" s="15">
        <v>148988</v>
      </c>
      <c r="E67" s="15">
        <v>148988</v>
      </c>
      <c r="F67" s="150">
        <f>123490-12010+26537</f>
        <v>138017</v>
      </c>
      <c r="G67" s="15"/>
      <c r="H67" s="15">
        <f t="shared" si="39"/>
        <v>138017</v>
      </c>
      <c r="I67" s="16">
        <f t="shared" si="37"/>
        <v>0.92636319703600289</v>
      </c>
      <c r="J67" s="97">
        <f t="shared" si="38"/>
        <v>1</v>
      </c>
    </row>
    <row r="68" spans="1:10" ht="30" x14ac:dyDescent="0.25">
      <c r="A68" s="75" t="s">
        <v>13</v>
      </c>
      <c r="B68" s="106" t="s">
        <v>43</v>
      </c>
      <c r="C68" s="15">
        <v>8106</v>
      </c>
      <c r="D68" s="15">
        <v>8106</v>
      </c>
      <c r="E68" s="15">
        <v>8106</v>
      </c>
      <c r="F68" s="150">
        <f>12100-3377</f>
        <v>8723</v>
      </c>
      <c r="G68" s="15"/>
      <c r="H68" s="15">
        <f t="shared" si="39"/>
        <v>8723</v>
      </c>
      <c r="I68" s="16">
        <f t="shared" si="37"/>
        <v>1.0761164569454724</v>
      </c>
      <c r="J68" s="97">
        <f t="shared" si="38"/>
        <v>1</v>
      </c>
    </row>
    <row r="69" spans="1:10" x14ac:dyDescent="0.25">
      <c r="A69" s="75" t="s">
        <v>11</v>
      </c>
      <c r="B69" s="76" t="s">
        <v>44</v>
      </c>
      <c r="C69" s="15">
        <v>154</v>
      </c>
      <c r="D69" s="15">
        <v>154</v>
      </c>
      <c r="E69" s="15">
        <f>69+19</f>
        <v>88</v>
      </c>
      <c r="F69" s="15">
        <f>121+33</f>
        <v>154</v>
      </c>
      <c r="G69" s="15"/>
      <c r="H69" s="15">
        <f t="shared" si="39"/>
        <v>154</v>
      </c>
      <c r="I69" s="16">
        <f t="shared" si="37"/>
        <v>1.75</v>
      </c>
      <c r="J69" s="97">
        <f t="shared" si="38"/>
        <v>1</v>
      </c>
    </row>
    <row r="70" spans="1:10" s="3" customFormat="1" ht="14.25" x14ac:dyDescent="0.25">
      <c r="A70" s="193" t="s">
        <v>45</v>
      </c>
      <c r="B70" s="194"/>
      <c r="C70" s="107">
        <f t="shared" ref="C70:F70" si="40">+C71+C76</f>
        <v>40673</v>
      </c>
      <c r="D70" s="107">
        <f t="shared" si="40"/>
        <v>43613</v>
      </c>
      <c r="E70" s="107">
        <f t="shared" si="40"/>
        <v>42813</v>
      </c>
      <c r="F70" s="107">
        <f t="shared" si="40"/>
        <v>47727</v>
      </c>
      <c r="G70" s="107">
        <f t="shared" ref="G70:H70" si="41">+G71+G76</f>
        <v>238</v>
      </c>
      <c r="H70" s="107">
        <f t="shared" si="41"/>
        <v>47965</v>
      </c>
      <c r="I70" s="108">
        <f t="shared" si="37"/>
        <v>1.1203372807324878</v>
      </c>
      <c r="J70" s="109">
        <f t="shared" si="38"/>
        <v>1.0049866951620676</v>
      </c>
    </row>
    <row r="71" spans="1:10" x14ac:dyDescent="0.25">
      <c r="A71" s="181" t="s">
        <v>46</v>
      </c>
      <c r="B71" s="182"/>
      <c r="C71" s="15">
        <f t="shared" ref="C71:E71" si="42">SUM(C72:C75)</f>
        <v>23592</v>
      </c>
      <c r="D71" s="15">
        <f t="shared" si="42"/>
        <v>24159</v>
      </c>
      <c r="E71" s="15">
        <f t="shared" si="42"/>
        <v>23590</v>
      </c>
      <c r="F71" s="15">
        <f t="shared" ref="F71" si="43">SUM(F72:F75)</f>
        <v>27194</v>
      </c>
      <c r="G71" s="15">
        <f t="shared" ref="G71:H71" si="44">SUM(G72:G75)</f>
        <v>0</v>
      </c>
      <c r="H71" s="15">
        <f t="shared" si="44"/>
        <v>27194</v>
      </c>
      <c r="I71" s="16">
        <f t="shared" si="37"/>
        <v>1.1527766002543451</v>
      </c>
      <c r="J71" s="97">
        <f t="shared" si="38"/>
        <v>1</v>
      </c>
    </row>
    <row r="72" spans="1:10" x14ac:dyDescent="0.25">
      <c r="A72" s="75" t="s">
        <v>7</v>
      </c>
      <c r="B72" s="76" t="s">
        <v>8</v>
      </c>
      <c r="C72" s="15">
        <v>18791</v>
      </c>
      <c r="D72" s="15">
        <v>19091</v>
      </c>
      <c r="E72" s="15">
        <v>19027</v>
      </c>
      <c r="F72" s="15">
        <v>22101</v>
      </c>
      <c r="G72" s="15">
        <v>17</v>
      </c>
      <c r="H72" s="15">
        <f t="shared" ref="H72:H75" si="45">+F72+G72</f>
        <v>22118</v>
      </c>
      <c r="I72" s="16">
        <f t="shared" si="37"/>
        <v>1.1624533557576076</v>
      </c>
      <c r="J72" s="97">
        <f t="shared" si="38"/>
        <v>1.0007691959639835</v>
      </c>
    </row>
    <row r="73" spans="1:10" x14ac:dyDescent="0.25">
      <c r="A73" s="75" t="s">
        <v>9</v>
      </c>
      <c r="B73" s="76" t="s">
        <v>10</v>
      </c>
      <c r="C73" s="15">
        <v>2925</v>
      </c>
      <c r="D73" s="15">
        <v>2972</v>
      </c>
      <c r="E73" s="15">
        <v>2949</v>
      </c>
      <c r="F73" s="15">
        <v>2883</v>
      </c>
      <c r="G73" s="15"/>
      <c r="H73" s="15">
        <f t="shared" si="45"/>
        <v>2883</v>
      </c>
      <c r="I73" s="16">
        <f t="shared" si="37"/>
        <v>0.97761953204476093</v>
      </c>
      <c r="J73" s="97">
        <f t="shared" si="38"/>
        <v>1</v>
      </c>
    </row>
    <row r="74" spans="1:10" x14ac:dyDescent="0.25">
      <c r="A74" s="75" t="s">
        <v>11</v>
      </c>
      <c r="B74" s="76" t="s">
        <v>12</v>
      </c>
      <c r="C74" s="15">
        <v>1876</v>
      </c>
      <c r="D74" s="15">
        <v>1876</v>
      </c>
      <c r="E74" s="15">
        <v>1394</v>
      </c>
      <c r="F74" s="15">
        <v>2210</v>
      </c>
      <c r="G74" s="15">
        <v>-17</v>
      </c>
      <c r="H74" s="15">
        <f t="shared" si="45"/>
        <v>2193</v>
      </c>
      <c r="I74" s="16">
        <f t="shared" si="37"/>
        <v>1.5731707317073171</v>
      </c>
      <c r="J74" s="97">
        <f t="shared" si="38"/>
        <v>0.99230769230769234</v>
      </c>
    </row>
    <row r="75" spans="1:10" x14ac:dyDescent="0.25">
      <c r="A75" s="75" t="s">
        <v>15</v>
      </c>
      <c r="B75" s="76" t="s">
        <v>16</v>
      </c>
      <c r="C75" s="15"/>
      <c r="D75" s="15">
        <v>220</v>
      </c>
      <c r="E75" s="15">
        <v>220</v>
      </c>
      <c r="F75" s="15"/>
      <c r="G75" s="15"/>
      <c r="H75" s="15">
        <f t="shared" si="45"/>
        <v>0</v>
      </c>
      <c r="I75" s="16">
        <f t="shared" si="37"/>
        <v>0</v>
      </c>
      <c r="J75" s="97"/>
    </row>
    <row r="76" spans="1:10" x14ac:dyDescent="0.25">
      <c r="A76" s="181" t="s">
        <v>47</v>
      </c>
      <c r="B76" s="182"/>
      <c r="C76" s="15">
        <f t="shared" ref="C76:F76" si="46">SUM(C77:C79)</f>
        <v>17081</v>
      </c>
      <c r="D76" s="15">
        <f t="shared" si="46"/>
        <v>19454</v>
      </c>
      <c r="E76" s="15">
        <f t="shared" si="46"/>
        <v>19223</v>
      </c>
      <c r="F76" s="15">
        <f t="shared" si="46"/>
        <v>20533</v>
      </c>
      <c r="G76" s="15">
        <f t="shared" ref="G76:H76" si="47">SUM(G77:G79)</f>
        <v>238</v>
      </c>
      <c r="H76" s="15">
        <f t="shared" si="47"/>
        <v>20771</v>
      </c>
      <c r="I76" s="16">
        <f t="shared" si="37"/>
        <v>1.0805285335275452</v>
      </c>
      <c r="J76" s="97">
        <f t="shared" si="38"/>
        <v>1.0115910972580724</v>
      </c>
    </row>
    <row r="77" spans="1:10" x14ac:dyDescent="0.25">
      <c r="A77" s="75" t="s">
        <v>11</v>
      </c>
      <c r="B77" s="76" t="s">
        <v>48</v>
      </c>
      <c r="C77" s="15">
        <v>1862</v>
      </c>
      <c r="D77" s="15">
        <v>1931</v>
      </c>
      <c r="E77" s="15">
        <v>1700</v>
      </c>
      <c r="F77" s="15">
        <v>1893</v>
      </c>
      <c r="G77" s="15">
        <f>232+6</f>
        <v>238</v>
      </c>
      <c r="H77" s="15">
        <f t="shared" ref="H77:H79" si="48">+F77+G77</f>
        <v>2131</v>
      </c>
      <c r="I77" s="16">
        <f t="shared" si="37"/>
        <v>1.2535294117647058</v>
      </c>
      <c r="J77" s="97">
        <f t="shared" si="38"/>
        <v>1.1257263602746963</v>
      </c>
    </row>
    <row r="78" spans="1:10" x14ac:dyDescent="0.25">
      <c r="A78" s="75" t="s">
        <v>13</v>
      </c>
      <c r="B78" s="76" t="s">
        <v>136</v>
      </c>
      <c r="C78" s="15">
        <v>9537</v>
      </c>
      <c r="D78" s="15">
        <v>11612</v>
      </c>
      <c r="E78" s="15">
        <v>11612</v>
      </c>
      <c r="F78" s="15">
        <v>11843</v>
      </c>
      <c r="G78" s="15"/>
      <c r="H78" s="15">
        <f t="shared" si="48"/>
        <v>11843</v>
      </c>
      <c r="I78" s="16">
        <f t="shared" si="37"/>
        <v>1.0198932139166379</v>
      </c>
      <c r="J78" s="97">
        <f t="shared" si="38"/>
        <v>1</v>
      </c>
    </row>
    <row r="79" spans="1:10" ht="15.75" thickBot="1" x14ac:dyDescent="0.3">
      <c r="A79" s="84" t="s">
        <v>13</v>
      </c>
      <c r="B79" s="85" t="s">
        <v>49</v>
      </c>
      <c r="C79" s="35">
        <v>5682</v>
      </c>
      <c r="D79" s="35">
        <v>5911</v>
      </c>
      <c r="E79" s="35">
        <v>5911</v>
      </c>
      <c r="F79" s="35">
        <f>874+5923</f>
        <v>6797</v>
      </c>
      <c r="G79" s="35"/>
      <c r="H79" s="35">
        <f t="shared" si="48"/>
        <v>6797</v>
      </c>
      <c r="I79" s="36">
        <f t="shared" si="37"/>
        <v>1.1498900355269837</v>
      </c>
      <c r="J79" s="102">
        <f t="shared" si="38"/>
        <v>1</v>
      </c>
    </row>
    <row r="80" spans="1:10" ht="30" customHeight="1" thickBot="1" x14ac:dyDescent="0.3"/>
    <row r="81" spans="1:10" s="3" customFormat="1" ht="14.25" x14ac:dyDescent="0.25">
      <c r="A81" s="175" t="s">
        <v>193</v>
      </c>
      <c r="B81" s="176"/>
      <c r="C81" s="176" t="s">
        <v>187</v>
      </c>
      <c r="D81" s="176"/>
      <c r="E81" s="176"/>
      <c r="F81" s="156" t="s">
        <v>222</v>
      </c>
      <c r="G81" s="157"/>
      <c r="H81" s="158"/>
      <c r="I81" s="1" t="s">
        <v>4</v>
      </c>
      <c r="J81" s="2" t="s">
        <v>4</v>
      </c>
    </row>
    <row r="82" spans="1:10" ht="15" customHeight="1" x14ac:dyDescent="0.25">
      <c r="A82" s="169" t="s">
        <v>0</v>
      </c>
      <c r="B82" s="170"/>
      <c r="C82" s="159" t="s">
        <v>2</v>
      </c>
      <c r="D82" s="160" t="s">
        <v>206</v>
      </c>
      <c r="E82" s="160" t="s">
        <v>3</v>
      </c>
      <c r="F82" s="159" t="s">
        <v>2</v>
      </c>
      <c r="G82" s="159" t="s">
        <v>205</v>
      </c>
      <c r="H82" s="160" t="s">
        <v>206</v>
      </c>
      <c r="I82" s="161" t="s">
        <v>215</v>
      </c>
      <c r="J82" s="164" t="s">
        <v>216</v>
      </c>
    </row>
    <row r="83" spans="1:10" x14ac:dyDescent="0.25">
      <c r="A83" s="169" t="s">
        <v>50</v>
      </c>
      <c r="B83" s="170"/>
      <c r="C83" s="159"/>
      <c r="D83" s="160"/>
      <c r="E83" s="160"/>
      <c r="F83" s="159"/>
      <c r="G83" s="159"/>
      <c r="H83" s="160"/>
      <c r="I83" s="162"/>
      <c r="J83" s="165"/>
    </row>
    <row r="84" spans="1:10" ht="22.5" customHeight="1" x14ac:dyDescent="0.25">
      <c r="A84" s="167"/>
      <c r="B84" s="168"/>
      <c r="C84" s="69">
        <v>1</v>
      </c>
      <c r="D84" s="70">
        <v>2</v>
      </c>
      <c r="E84" s="70">
        <v>3</v>
      </c>
      <c r="F84" s="70">
        <v>4</v>
      </c>
      <c r="G84" s="69">
        <v>5</v>
      </c>
      <c r="H84" s="70">
        <v>6</v>
      </c>
      <c r="I84" s="163"/>
      <c r="J84" s="166"/>
    </row>
    <row r="85" spans="1:10" s="3" customFormat="1" ht="14.25" x14ac:dyDescent="0.25">
      <c r="A85" s="195" t="s">
        <v>51</v>
      </c>
      <c r="B85" s="196"/>
      <c r="C85" s="110">
        <f>+C86+C93</f>
        <v>76381</v>
      </c>
      <c r="D85" s="110">
        <f>+D86+D93</f>
        <v>100382</v>
      </c>
      <c r="E85" s="110">
        <f>+E86+E93</f>
        <v>95258</v>
      </c>
      <c r="F85" s="110">
        <f t="shared" ref="F85" si="49">+F86+F93</f>
        <v>91857</v>
      </c>
      <c r="G85" s="110">
        <f t="shared" ref="G85:H85" si="50">+G86+G93</f>
        <v>11769</v>
      </c>
      <c r="H85" s="110">
        <f t="shared" si="50"/>
        <v>103626</v>
      </c>
      <c r="I85" s="111">
        <f t="shared" ref="I85:I104" si="51">+H85/E85</f>
        <v>1.0878456402611854</v>
      </c>
      <c r="J85" s="112">
        <f t="shared" ref="J85:J98" si="52">+H85/F85</f>
        <v>1.1281230608445736</v>
      </c>
    </row>
    <row r="86" spans="1:10" x14ac:dyDescent="0.25">
      <c r="A86" s="181" t="s">
        <v>52</v>
      </c>
      <c r="B86" s="182"/>
      <c r="C86" s="15">
        <f>SUM(C87:C92)</f>
        <v>69491</v>
      </c>
      <c r="D86" s="15">
        <f>SUM(D87:D92)</f>
        <v>91045</v>
      </c>
      <c r="E86" s="15">
        <f>SUM(E87:E92)</f>
        <v>91066</v>
      </c>
      <c r="F86" s="15">
        <f t="shared" ref="F86" si="53">SUM(F87:F92)</f>
        <v>82245</v>
      </c>
      <c r="G86" s="15">
        <f t="shared" ref="G86:H86" si="54">SUM(G87:G92)</f>
        <v>4369</v>
      </c>
      <c r="H86" s="15">
        <f t="shared" si="54"/>
        <v>86614</v>
      </c>
      <c r="I86" s="16">
        <f t="shared" si="51"/>
        <v>0.95111238003206466</v>
      </c>
      <c r="J86" s="97">
        <f t="shared" si="52"/>
        <v>1.0531217703203841</v>
      </c>
    </row>
    <row r="87" spans="1:10" x14ac:dyDescent="0.25">
      <c r="A87" s="75" t="s">
        <v>13</v>
      </c>
      <c r="B87" s="76" t="s">
        <v>53</v>
      </c>
      <c r="C87" s="15">
        <v>42134</v>
      </c>
      <c r="D87" s="15">
        <v>38287</v>
      </c>
      <c r="E87" s="15">
        <v>38287</v>
      </c>
      <c r="F87" s="15">
        <v>50308</v>
      </c>
      <c r="G87" s="15"/>
      <c r="H87" s="15">
        <f t="shared" ref="H87:H92" si="55">+F87+G87</f>
        <v>50308</v>
      </c>
      <c r="I87" s="16">
        <f t="shared" si="51"/>
        <v>1.3139707994880769</v>
      </c>
      <c r="J87" s="97">
        <f t="shared" si="52"/>
        <v>1</v>
      </c>
    </row>
    <row r="88" spans="1:10" x14ac:dyDescent="0.25">
      <c r="A88" s="75" t="s">
        <v>13</v>
      </c>
      <c r="B88" s="76" t="s">
        <v>228</v>
      </c>
      <c r="C88" s="15"/>
      <c r="D88" s="15">
        <v>26191</v>
      </c>
      <c r="E88" s="15">
        <f>12200+12000+2010</f>
        <v>26210</v>
      </c>
      <c r="F88" s="15"/>
      <c r="G88" s="15">
        <f>1360+3000</f>
        <v>4360</v>
      </c>
      <c r="H88" s="15">
        <f t="shared" si="55"/>
        <v>4360</v>
      </c>
      <c r="I88" s="16"/>
      <c r="J88" s="97"/>
    </row>
    <row r="89" spans="1:10" x14ac:dyDescent="0.25">
      <c r="A89" s="75" t="s">
        <v>13</v>
      </c>
      <c r="B89" s="76" t="s">
        <v>208</v>
      </c>
      <c r="C89" s="15">
        <f>5000+1712</f>
        <v>6712</v>
      </c>
      <c r="D89" s="15">
        <v>6712</v>
      </c>
      <c r="E89" s="15">
        <v>6712</v>
      </c>
      <c r="F89" s="15">
        <v>6996</v>
      </c>
      <c r="G89" s="15"/>
      <c r="H89" s="15">
        <f t="shared" si="55"/>
        <v>6996</v>
      </c>
      <c r="I89" s="16">
        <f t="shared" si="51"/>
        <v>1.0423122765196662</v>
      </c>
      <c r="J89" s="97">
        <f t="shared" si="52"/>
        <v>1</v>
      </c>
    </row>
    <row r="90" spans="1:10" x14ac:dyDescent="0.25">
      <c r="A90" s="75" t="s">
        <v>13</v>
      </c>
      <c r="B90" s="76" t="s">
        <v>54</v>
      </c>
      <c r="C90" s="15">
        <f>5761-434</f>
        <v>5327</v>
      </c>
      <c r="D90" s="15">
        <v>7740</v>
      </c>
      <c r="E90" s="15">
        <v>7740</v>
      </c>
      <c r="F90" s="15">
        <v>10504</v>
      </c>
      <c r="G90" s="15"/>
      <c r="H90" s="15">
        <f t="shared" si="55"/>
        <v>10504</v>
      </c>
      <c r="I90" s="16">
        <f t="shared" si="51"/>
        <v>1.3571059431524548</v>
      </c>
      <c r="J90" s="97">
        <f t="shared" si="52"/>
        <v>1</v>
      </c>
    </row>
    <row r="91" spans="1:10" x14ac:dyDescent="0.25">
      <c r="A91" s="75" t="s">
        <v>11</v>
      </c>
      <c r="B91" s="76" t="s">
        <v>55</v>
      </c>
      <c r="C91" s="15">
        <f>814+434</f>
        <v>1248</v>
      </c>
      <c r="D91" s="15">
        <v>1413</v>
      </c>
      <c r="E91" s="15">
        <v>1415</v>
      </c>
      <c r="F91" s="15">
        <v>1283</v>
      </c>
      <c r="G91" s="15">
        <v>9</v>
      </c>
      <c r="H91" s="15">
        <f t="shared" si="55"/>
        <v>1292</v>
      </c>
      <c r="I91" s="16">
        <f t="shared" si="51"/>
        <v>0.91307420494699643</v>
      </c>
      <c r="J91" s="97">
        <f t="shared" si="52"/>
        <v>1.0070148090413094</v>
      </c>
    </row>
    <row r="92" spans="1:10" x14ac:dyDescent="0.25">
      <c r="A92" s="75" t="s">
        <v>13</v>
      </c>
      <c r="B92" s="76" t="s">
        <v>56</v>
      </c>
      <c r="C92" s="15">
        <v>14070</v>
      </c>
      <c r="D92" s="15">
        <v>10702</v>
      </c>
      <c r="E92" s="15">
        <v>10702</v>
      </c>
      <c r="F92" s="15">
        <v>13154</v>
      </c>
      <c r="G92" s="15"/>
      <c r="H92" s="15">
        <f t="shared" si="55"/>
        <v>13154</v>
      </c>
      <c r="I92" s="16">
        <f t="shared" si="51"/>
        <v>1.2291160530741918</v>
      </c>
      <c r="J92" s="97">
        <f t="shared" si="52"/>
        <v>1</v>
      </c>
    </row>
    <row r="93" spans="1:10" x14ac:dyDescent="0.25">
      <c r="A93" s="181" t="s">
        <v>57</v>
      </c>
      <c r="B93" s="182"/>
      <c r="C93" s="15">
        <f>SUM(C94:C97)</f>
        <v>6890</v>
      </c>
      <c r="D93" s="15">
        <f>SUM(D94:D97)</f>
        <v>9337</v>
      </c>
      <c r="E93" s="15">
        <f>SUM(E94:E97)</f>
        <v>4192</v>
      </c>
      <c r="F93" s="15">
        <f t="shared" ref="F93" si="56">SUM(F94:F97)</f>
        <v>9612</v>
      </c>
      <c r="G93" s="15">
        <f t="shared" ref="G93:H93" si="57">SUM(G94:G97)</f>
        <v>7400</v>
      </c>
      <c r="H93" s="15">
        <f t="shared" si="57"/>
        <v>17012</v>
      </c>
      <c r="I93" s="16">
        <f t="shared" si="51"/>
        <v>4.0582061068702293</v>
      </c>
      <c r="J93" s="97">
        <f t="shared" si="52"/>
        <v>1.7698709945900957</v>
      </c>
    </row>
    <row r="94" spans="1:10" x14ac:dyDescent="0.25">
      <c r="A94" s="75" t="s">
        <v>13</v>
      </c>
      <c r="B94" s="76" t="s">
        <v>58</v>
      </c>
      <c r="C94" s="15">
        <v>3000</v>
      </c>
      <c r="D94" s="15">
        <v>3000</v>
      </c>
      <c r="E94" s="15">
        <f>900+120</f>
        <v>1020</v>
      </c>
      <c r="F94" s="15">
        <v>4000</v>
      </c>
      <c r="G94" s="15"/>
      <c r="H94" s="15">
        <f t="shared" ref="H94:H97" si="58">+F94+G94</f>
        <v>4000</v>
      </c>
      <c r="I94" s="16">
        <f t="shared" si="51"/>
        <v>3.9215686274509802</v>
      </c>
      <c r="J94" s="97">
        <f t="shared" si="52"/>
        <v>1</v>
      </c>
    </row>
    <row r="95" spans="1:10" x14ac:dyDescent="0.25">
      <c r="A95" s="75" t="s">
        <v>13</v>
      </c>
      <c r="B95" s="76" t="s">
        <v>223</v>
      </c>
      <c r="C95" s="15"/>
      <c r="D95" s="15">
        <v>2447</v>
      </c>
      <c r="E95" s="15">
        <f>100+1097+750+500</f>
        <v>2447</v>
      </c>
      <c r="F95" s="15"/>
      <c r="G95" s="15">
        <f>1100+2300</f>
        <v>3400</v>
      </c>
      <c r="H95" s="15">
        <f t="shared" si="58"/>
        <v>3400</v>
      </c>
      <c r="I95" s="16">
        <f t="shared" si="51"/>
        <v>1.3894564773191662</v>
      </c>
      <c r="J95" s="97"/>
    </row>
    <row r="96" spans="1:10" x14ac:dyDescent="0.25">
      <c r="A96" s="75" t="s">
        <v>13</v>
      </c>
      <c r="B96" s="76" t="s">
        <v>59</v>
      </c>
      <c r="C96" s="15">
        <f>5202-1712</f>
        <v>3490</v>
      </c>
      <c r="D96" s="15">
        <v>3490</v>
      </c>
      <c r="E96" s="15">
        <f>2635-2010</f>
        <v>625</v>
      </c>
      <c r="F96" s="15">
        <v>5212</v>
      </c>
      <c r="G96" s="15"/>
      <c r="H96" s="15">
        <f t="shared" si="58"/>
        <v>5212</v>
      </c>
      <c r="I96" s="16">
        <f t="shared" si="51"/>
        <v>8.3391999999999999</v>
      </c>
      <c r="J96" s="97">
        <f t="shared" si="52"/>
        <v>1</v>
      </c>
    </row>
    <row r="97" spans="1:10" x14ac:dyDescent="0.25">
      <c r="A97" s="75" t="s">
        <v>13</v>
      </c>
      <c r="B97" s="76" t="s">
        <v>60</v>
      </c>
      <c r="C97" s="15">
        <v>400</v>
      </c>
      <c r="D97" s="15">
        <v>400</v>
      </c>
      <c r="E97" s="15">
        <v>100</v>
      </c>
      <c r="F97" s="15">
        <v>400</v>
      </c>
      <c r="G97" s="15">
        <f>1000+3000</f>
        <v>4000</v>
      </c>
      <c r="H97" s="15">
        <f t="shared" si="58"/>
        <v>4400</v>
      </c>
      <c r="I97" s="16">
        <f t="shared" si="51"/>
        <v>44</v>
      </c>
      <c r="J97" s="97">
        <f t="shared" si="52"/>
        <v>11</v>
      </c>
    </row>
    <row r="98" spans="1:10" s="3" customFormat="1" ht="14.25" x14ac:dyDescent="0.25">
      <c r="A98" s="197" t="s">
        <v>61</v>
      </c>
      <c r="B98" s="198"/>
      <c r="C98" s="113">
        <f t="shared" ref="C98:F98" si="59">+C99+C102</f>
        <v>6000</v>
      </c>
      <c r="D98" s="113">
        <f t="shared" si="59"/>
        <v>6000</v>
      </c>
      <c r="E98" s="113">
        <f t="shared" si="59"/>
        <v>5500</v>
      </c>
      <c r="F98" s="113">
        <f t="shared" si="59"/>
        <v>10000</v>
      </c>
      <c r="G98" s="113">
        <f t="shared" ref="G98:H98" si="60">+G99+G102</f>
        <v>0</v>
      </c>
      <c r="H98" s="113">
        <f t="shared" si="60"/>
        <v>10000</v>
      </c>
      <c r="I98" s="114">
        <f t="shared" si="51"/>
        <v>1.8181818181818181</v>
      </c>
      <c r="J98" s="115">
        <f t="shared" si="52"/>
        <v>1</v>
      </c>
    </row>
    <row r="99" spans="1:10" ht="28.9" customHeight="1" x14ac:dyDescent="0.25">
      <c r="A99" s="183" t="s">
        <v>62</v>
      </c>
      <c r="B99" s="184"/>
      <c r="C99" s="15">
        <f t="shared" ref="C99:E99" si="61">SUM(C100:C101)</f>
        <v>0</v>
      </c>
      <c r="D99" s="15">
        <f t="shared" si="61"/>
        <v>0</v>
      </c>
      <c r="E99" s="15">
        <f t="shared" si="61"/>
        <v>0</v>
      </c>
      <c r="F99" s="15">
        <f t="shared" ref="F99" si="62">SUM(F100:F101)</f>
        <v>0</v>
      </c>
      <c r="G99" s="15">
        <f t="shared" ref="G99:H99" si="63">SUM(G100:G101)</f>
        <v>0</v>
      </c>
      <c r="H99" s="15">
        <f t="shared" si="63"/>
        <v>0</v>
      </c>
      <c r="I99" s="16"/>
      <c r="J99" s="98"/>
    </row>
    <row r="100" spans="1:10" x14ac:dyDescent="0.25">
      <c r="A100" s="75" t="s">
        <v>13</v>
      </c>
      <c r="B100" s="76" t="s">
        <v>63</v>
      </c>
      <c r="C100" s="15"/>
      <c r="D100" s="15"/>
      <c r="E100" s="15"/>
      <c r="F100" s="15"/>
      <c r="G100" s="15"/>
      <c r="H100" s="15">
        <f t="shared" ref="H100:H101" si="64">+F100+G100</f>
        <v>0</v>
      </c>
      <c r="I100" s="16"/>
      <c r="J100" s="98"/>
    </row>
    <row r="101" spans="1:10" x14ac:dyDescent="0.25">
      <c r="A101" s="75" t="s">
        <v>13</v>
      </c>
      <c r="B101" s="76" t="s">
        <v>64</v>
      </c>
      <c r="C101" s="15"/>
      <c r="D101" s="15"/>
      <c r="E101" s="15"/>
      <c r="F101" s="15"/>
      <c r="G101" s="15"/>
      <c r="H101" s="15">
        <f t="shared" si="64"/>
        <v>0</v>
      </c>
      <c r="I101" s="16"/>
      <c r="J101" s="98"/>
    </row>
    <row r="102" spans="1:10" x14ac:dyDescent="0.25">
      <c r="A102" s="181" t="s">
        <v>65</v>
      </c>
      <c r="B102" s="182"/>
      <c r="C102" s="15">
        <f t="shared" ref="C102:E102" si="65">SUM(C103:C105)</f>
        <v>6000</v>
      </c>
      <c r="D102" s="15">
        <f t="shared" si="65"/>
        <v>6000</v>
      </c>
      <c r="E102" s="15">
        <f t="shared" si="65"/>
        <v>5500</v>
      </c>
      <c r="F102" s="15">
        <f t="shared" ref="F102" si="66">SUM(F103:F105)</f>
        <v>10000</v>
      </c>
      <c r="G102" s="15">
        <f t="shared" ref="G102:H102" si="67">SUM(G103:G105)</f>
        <v>0</v>
      </c>
      <c r="H102" s="15">
        <f t="shared" si="67"/>
        <v>10000</v>
      </c>
      <c r="I102" s="16">
        <f t="shared" si="51"/>
        <v>1.8181818181818181</v>
      </c>
      <c r="J102" s="97">
        <f>+H102/F102</f>
        <v>1</v>
      </c>
    </row>
    <row r="103" spans="1:10" x14ac:dyDescent="0.25">
      <c r="A103" s="75" t="s">
        <v>13</v>
      </c>
      <c r="B103" s="76" t="s">
        <v>66</v>
      </c>
      <c r="C103" s="15"/>
      <c r="D103" s="15"/>
      <c r="E103" s="15"/>
      <c r="F103" s="15"/>
      <c r="G103" s="15"/>
      <c r="H103" s="15">
        <f t="shared" ref="H103:H104" si="68">+F103+G103</f>
        <v>0</v>
      </c>
      <c r="I103" s="16"/>
      <c r="J103" s="98"/>
    </row>
    <row r="104" spans="1:10" x14ac:dyDescent="0.25">
      <c r="A104" s="75" t="s">
        <v>13</v>
      </c>
      <c r="B104" s="76" t="s">
        <v>67</v>
      </c>
      <c r="C104" s="15">
        <v>6000</v>
      </c>
      <c r="D104" s="15">
        <v>6000</v>
      </c>
      <c r="E104" s="15">
        <v>5500</v>
      </c>
      <c r="F104" s="15">
        <v>10000</v>
      </c>
      <c r="G104" s="15"/>
      <c r="H104" s="15">
        <f t="shared" si="68"/>
        <v>10000</v>
      </c>
      <c r="I104" s="16">
        <f t="shared" si="51"/>
        <v>1.8181818181818181</v>
      </c>
      <c r="J104" s="97">
        <f>+H104/F104</f>
        <v>1</v>
      </c>
    </row>
    <row r="105" spans="1:10" ht="15.75" thickBot="1" x14ac:dyDescent="0.3">
      <c r="A105" s="84" t="s">
        <v>13</v>
      </c>
      <c r="B105" s="85" t="s">
        <v>68</v>
      </c>
      <c r="C105" s="35"/>
      <c r="D105" s="35"/>
      <c r="E105" s="35"/>
      <c r="F105" s="35"/>
      <c r="G105" s="35"/>
      <c r="H105" s="35"/>
      <c r="I105" s="36"/>
      <c r="J105" s="116"/>
    </row>
    <row r="106" spans="1:10" ht="30" customHeight="1" thickBot="1" x14ac:dyDescent="0.3"/>
    <row r="107" spans="1:10" s="3" customFormat="1" ht="14.25" x14ac:dyDescent="0.25">
      <c r="A107" s="175" t="s">
        <v>193</v>
      </c>
      <c r="B107" s="176"/>
      <c r="C107" s="176" t="s">
        <v>187</v>
      </c>
      <c r="D107" s="176"/>
      <c r="E107" s="176"/>
      <c r="F107" s="156" t="s">
        <v>222</v>
      </c>
      <c r="G107" s="157"/>
      <c r="H107" s="158"/>
      <c r="I107" s="1" t="s">
        <v>4</v>
      </c>
      <c r="J107" s="2" t="s">
        <v>4</v>
      </c>
    </row>
    <row r="108" spans="1:10" ht="15" customHeight="1" x14ac:dyDescent="0.25">
      <c r="A108" s="169" t="s">
        <v>0</v>
      </c>
      <c r="B108" s="170"/>
      <c r="C108" s="159" t="s">
        <v>2</v>
      </c>
      <c r="D108" s="160" t="s">
        <v>206</v>
      </c>
      <c r="E108" s="160" t="s">
        <v>3</v>
      </c>
      <c r="F108" s="159" t="s">
        <v>2</v>
      </c>
      <c r="G108" s="159" t="s">
        <v>205</v>
      </c>
      <c r="H108" s="160" t="s">
        <v>206</v>
      </c>
      <c r="I108" s="161" t="s">
        <v>215</v>
      </c>
      <c r="J108" s="164" t="s">
        <v>216</v>
      </c>
    </row>
    <row r="109" spans="1:10" x14ac:dyDescent="0.25">
      <c r="A109" s="169" t="s">
        <v>69</v>
      </c>
      <c r="B109" s="170"/>
      <c r="C109" s="159"/>
      <c r="D109" s="160"/>
      <c r="E109" s="160"/>
      <c r="F109" s="159"/>
      <c r="G109" s="159"/>
      <c r="H109" s="160"/>
      <c r="I109" s="162"/>
      <c r="J109" s="165"/>
    </row>
    <row r="110" spans="1:10" ht="23.25" customHeight="1" x14ac:dyDescent="0.25">
      <c r="A110" s="167"/>
      <c r="B110" s="168"/>
      <c r="C110" s="69">
        <v>1</v>
      </c>
      <c r="D110" s="70">
        <v>2</v>
      </c>
      <c r="E110" s="70">
        <v>3</v>
      </c>
      <c r="F110" s="70">
        <v>4</v>
      </c>
      <c r="G110" s="69">
        <v>5</v>
      </c>
      <c r="H110" s="70">
        <v>6</v>
      </c>
      <c r="I110" s="163"/>
      <c r="J110" s="166"/>
    </row>
    <row r="111" spans="1:10" s="3" customFormat="1" ht="14.25" x14ac:dyDescent="0.25">
      <c r="A111" s="203" t="s">
        <v>192</v>
      </c>
      <c r="B111" s="204"/>
      <c r="C111" s="117">
        <f t="shared" ref="C111:E111" si="69">SUM(C112:C114)</f>
        <v>1540</v>
      </c>
      <c r="D111" s="117">
        <f t="shared" si="69"/>
        <v>2033</v>
      </c>
      <c r="E111" s="117">
        <f t="shared" si="69"/>
        <v>1740</v>
      </c>
      <c r="F111" s="117">
        <f t="shared" ref="F111:H111" si="70">SUM(F112:F114)</f>
        <v>1581</v>
      </c>
      <c r="G111" s="117">
        <f t="shared" si="70"/>
        <v>0</v>
      </c>
      <c r="H111" s="117">
        <f t="shared" si="70"/>
        <v>1581</v>
      </c>
      <c r="I111" s="118">
        <f t="shared" ref="I111:I113" si="71">+H111/E111</f>
        <v>0.9086206896551724</v>
      </c>
      <c r="J111" s="119">
        <f>+H111/F111</f>
        <v>1</v>
      </c>
    </row>
    <row r="112" spans="1:10" x14ac:dyDescent="0.25">
      <c r="A112" s="75" t="s">
        <v>11</v>
      </c>
      <c r="B112" s="76" t="s">
        <v>71</v>
      </c>
      <c r="C112" s="15">
        <v>540</v>
      </c>
      <c r="D112" s="15">
        <v>1033</v>
      </c>
      <c r="E112" s="90">
        <v>964</v>
      </c>
      <c r="F112" s="15">
        <v>581</v>
      </c>
      <c r="G112" s="15"/>
      <c r="H112" s="15">
        <f t="shared" ref="H112:H113" si="72">+F112+G112</f>
        <v>581</v>
      </c>
      <c r="I112" s="16">
        <f t="shared" si="71"/>
        <v>0.60269709543568462</v>
      </c>
      <c r="J112" s="97">
        <f>+H112/F112</f>
        <v>1</v>
      </c>
    </row>
    <row r="113" spans="1:10" x14ac:dyDescent="0.25">
      <c r="A113" s="75" t="s">
        <v>13</v>
      </c>
      <c r="B113" s="76" t="s">
        <v>72</v>
      </c>
      <c r="C113" s="15">
        <v>1000</v>
      </c>
      <c r="D113" s="15">
        <v>1000</v>
      </c>
      <c r="E113" s="15">
        <v>776</v>
      </c>
      <c r="F113" s="15">
        <v>1000</v>
      </c>
      <c r="G113" s="15"/>
      <c r="H113" s="15">
        <f t="shared" si="72"/>
        <v>1000</v>
      </c>
      <c r="I113" s="16">
        <f t="shared" si="71"/>
        <v>1.2886597938144331</v>
      </c>
      <c r="J113" s="97">
        <f>+H113/F113</f>
        <v>1</v>
      </c>
    </row>
    <row r="114" spans="1:10" ht="15.75" thickBot="1" x14ac:dyDescent="0.3">
      <c r="A114" s="84" t="s">
        <v>73</v>
      </c>
      <c r="B114" s="85" t="s">
        <v>74</v>
      </c>
      <c r="C114" s="35"/>
      <c r="D114" s="35"/>
      <c r="E114" s="35"/>
      <c r="F114" s="35"/>
      <c r="G114" s="35"/>
      <c r="H114" s="35"/>
      <c r="I114" s="36"/>
      <c r="J114" s="116"/>
    </row>
    <row r="115" spans="1:10" ht="30" customHeight="1" thickBot="1" x14ac:dyDescent="0.3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</row>
    <row r="116" spans="1:10" s="3" customFormat="1" ht="14.25" x14ac:dyDescent="0.25">
      <c r="A116" s="175" t="s">
        <v>193</v>
      </c>
      <c r="B116" s="176"/>
      <c r="C116" s="176" t="s">
        <v>187</v>
      </c>
      <c r="D116" s="176"/>
      <c r="E116" s="176"/>
      <c r="F116" s="156" t="s">
        <v>222</v>
      </c>
      <c r="G116" s="157"/>
      <c r="H116" s="158"/>
      <c r="I116" s="1" t="s">
        <v>4</v>
      </c>
      <c r="J116" s="2" t="s">
        <v>4</v>
      </c>
    </row>
    <row r="117" spans="1:10" ht="15" customHeight="1" x14ac:dyDescent="0.25">
      <c r="A117" s="169" t="s">
        <v>0</v>
      </c>
      <c r="B117" s="170"/>
      <c r="C117" s="159" t="s">
        <v>2</v>
      </c>
      <c r="D117" s="160" t="s">
        <v>206</v>
      </c>
      <c r="E117" s="160" t="s">
        <v>3</v>
      </c>
      <c r="F117" s="159" t="s">
        <v>2</v>
      </c>
      <c r="G117" s="159" t="s">
        <v>205</v>
      </c>
      <c r="H117" s="160" t="s">
        <v>206</v>
      </c>
      <c r="I117" s="161" t="s">
        <v>215</v>
      </c>
      <c r="J117" s="164" t="s">
        <v>216</v>
      </c>
    </row>
    <row r="118" spans="1:10" x14ac:dyDescent="0.25">
      <c r="A118" s="211" t="s">
        <v>75</v>
      </c>
      <c r="B118" s="212"/>
      <c r="C118" s="159"/>
      <c r="D118" s="160"/>
      <c r="E118" s="160"/>
      <c r="F118" s="159"/>
      <c r="G118" s="159"/>
      <c r="H118" s="160"/>
      <c r="I118" s="162"/>
      <c r="J118" s="165"/>
    </row>
    <row r="119" spans="1:10" ht="23.25" customHeight="1" thickBot="1" x14ac:dyDescent="0.3">
      <c r="A119" s="167"/>
      <c r="B119" s="168"/>
      <c r="C119" s="69">
        <v>1</v>
      </c>
      <c r="D119" s="70">
        <v>2</v>
      </c>
      <c r="E119" s="70">
        <v>3</v>
      </c>
      <c r="F119" s="70">
        <v>4</v>
      </c>
      <c r="G119" s="69">
        <v>5</v>
      </c>
      <c r="H119" s="70">
        <v>6</v>
      </c>
      <c r="I119" s="163"/>
      <c r="J119" s="166"/>
    </row>
    <row r="120" spans="1:10" s="3" customFormat="1" thickBot="1" x14ac:dyDescent="0.3">
      <c r="A120" s="205" t="s">
        <v>182</v>
      </c>
      <c r="B120" s="206"/>
      <c r="C120" s="121">
        <f>SUM(C121:C130)</f>
        <v>988680</v>
      </c>
      <c r="D120" s="121">
        <f t="shared" ref="D120:H120" si="73">SUM(D121:D130)</f>
        <v>1089006</v>
      </c>
      <c r="E120" s="121">
        <f t="shared" si="73"/>
        <v>1063155</v>
      </c>
      <c r="F120" s="121">
        <f t="shared" si="73"/>
        <v>1079796</v>
      </c>
      <c r="G120" s="121">
        <f t="shared" si="73"/>
        <v>46387</v>
      </c>
      <c r="H120" s="121">
        <f t="shared" si="73"/>
        <v>1126183</v>
      </c>
      <c r="I120" s="122">
        <f t="shared" ref="I120:I130" si="74">+H120/E120</f>
        <v>1.0592839237928617</v>
      </c>
      <c r="J120" s="123">
        <f t="shared" ref="J120:J130" si="75">+H120/F120</f>
        <v>1.0429590404113369</v>
      </c>
    </row>
    <row r="121" spans="1:10" s="3" customFormat="1" ht="14.25" x14ac:dyDescent="0.25">
      <c r="A121" s="207" t="s">
        <v>5</v>
      </c>
      <c r="B121" s="208"/>
      <c r="C121" s="124">
        <f t="shared" ref="C121:H121" si="76">+C5</f>
        <v>278957</v>
      </c>
      <c r="D121" s="124">
        <f t="shared" si="76"/>
        <v>283429</v>
      </c>
      <c r="E121" s="124">
        <f t="shared" si="76"/>
        <v>272198</v>
      </c>
      <c r="F121" s="124">
        <f t="shared" si="76"/>
        <v>291297</v>
      </c>
      <c r="G121" s="124">
        <f t="shared" si="76"/>
        <v>9231</v>
      </c>
      <c r="H121" s="124">
        <f t="shared" si="76"/>
        <v>300528</v>
      </c>
      <c r="I121" s="125">
        <f t="shared" si="74"/>
        <v>1.1040786486307761</v>
      </c>
      <c r="J121" s="126">
        <f t="shared" si="75"/>
        <v>1.0316893067899773</v>
      </c>
    </row>
    <row r="122" spans="1:10" s="3" customFormat="1" ht="29.45" customHeight="1" x14ac:dyDescent="0.25">
      <c r="A122" s="189" t="s">
        <v>146</v>
      </c>
      <c r="B122" s="190"/>
      <c r="C122" s="77">
        <f t="shared" ref="C122:H122" si="77">+C15</f>
        <v>32617</v>
      </c>
      <c r="D122" s="77">
        <f t="shared" si="77"/>
        <v>68793</v>
      </c>
      <c r="E122" s="77">
        <f t="shared" si="77"/>
        <v>68078</v>
      </c>
      <c r="F122" s="77">
        <f t="shared" si="77"/>
        <v>37401</v>
      </c>
      <c r="G122" s="77">
        <f t="shared" si="77"/>
        <v>22262</v>
      </c>
      <c r="H122" s="77">
        <f t="shared" si="77"/>
        <v>59663</v>
      </c>
      <c r="I122" s="78">
        <f t="shared" si="74"/>
        <v>0.87639178589265254</v>
      </c>
      <c r="J122" s="79">
        <f t="shared" si="75"/>
        <v>1.595224726611588</v>
      </c>
    </row>
    <row r="123" spans="1:10" s="3" customFormat="1" ht="29.45" customHeight="1" x14ac:dyDescent="0.25">
      <c r="A123" s="177" t="s">
        <v>28</v>
      </c>
      <c r="B123" s="178"/>
      <c r="C123" s="87">
        <f t="shared" ref="C123:H123" si="78">+C25</f>
        <v>318382</v>
      </c>
      <c r="D123" s="87">
        <f t="shared" si="78"/>
        <v>291945</v>
      </c>
      <c r="E123" s="87">
        <f t="shared" si="78"/>
        <v>287045</v>
      </c>
      <c r="F123" s="87">
        <f t="shared" si="78"/>
        <v>324933</v>
      </c>
      <c r="G123" s="87">
        <f t="shared" si="78"/>
        <v>2887</v>
      </c>
      <c r="H123" s="87">
        <f t="shared" si="78"/>
        <v>327820</v>
      </c>
      <c r="I123" s="88">
        <f t="shared" si="74"/>
        <v>1.1420508979428312</v>
      </c>
      <c r="J123" s="89">
        <f t="shared" si="75"/>
        <v>1.0088849085811538</v>
      </c>
    </row>
    <row r="124" spans="1:10" s="3" customFormat="1" ht="29.45" customHeight="1" x14ac:dyDescent="0.25">
      <c r="A124" s="171" t="s">
        <v>32</v>
      </c>
      <c r="B124" s="172"/>
      <c r="C124" s="94">
        <f t="shared" ref="C124:H124" si="79">+C45</f>
        <v>68421</v>
      </c>
      <c r="D124" s="94">
        <f t="shared" si="79"/>
        <v>79378</v>
      </c>
      <c r="E124" s="94">
        <f t="shared" si="79"/>
        <v>78378</v>
      </c>
      <c r="F124" s="94">
        <f t="shared" si="79"/>
        <v>73937</v>
      </c>
      <c r="G124" s="94">
        <f t="shared" si="79"/>
        <v>0</v>
      </c>
      <c r="H124" s="94">
        <f t="shared" si="79"/>
        <v>73937</v>
      </c>
      <c r="I124" s="95">
        <f t="shared" si="74"/>
        <v>0.94333869197989229</v>
      </c>
      <c r="J124" s="96">
        <f t="shared" si="75"/>
        <v>1</v>
      </c>
    </row>
    <row r="125" spans="1:10" s="3" customFormat="1" ht="28.15" customHeight="1" x14ac:dyDescent="0.25">
      <c r="A125" s="173" t="s">
        <v>37</v>
      </c>
      <c r="B125" s="174"/>
      <c r="C125" s="99">
        <f t="shared" ref="C125:H125" si="80">+C56</f>
        <v>46203</v>
      </c>
      <c r="D125" s="99">
        <f t="shared" si="80"/>
        <v>49852</v>
      </c>
      <c r="E125" s="99">
        <f t="shared" si="80"/>
        <v>49852</v>
      </c>
      <c r="F125" s="99">
        <f t="shared" si="80"/>
        <v>49891</v>
      </c>
      <c r="G125" s="99">
        <f t="shared" si="80"/>
        <v>0</v>
      </c>
      <c r="H125" s="99">
        <f t="shared" si="80"/>
        <v>49891</v>
      </c>
      <c r="I125" s="100">
        <f t="shared" si="74"/>
        <v>1.0007823156543367</v>
      </c>
      <c r="J125" s="101">
        <f t="shared" si="75"/>
        <v>1</v>
      </c>
    </row>
    <row r="126" spans="1:10" s="3" customFormat="1" ht="30" customHeight="1" x14ac:dyDescent="0.25">
      <c r="A126" s="191" t="s">
        <v>42</v>
      </c>
      <c r="B126" s="192"/>
      <c r="C126" s="103">
        <f t="shared" ref="C126:H126" si="81">+C65</f>
        <v>119506</v>
      </c>
      <c r="D126" s="103">
        <f t="shared" si="81"/>
        <v>163581</v>
      </c>
      <c r="E126" s="103">
        <f t="shared" si="81"/>
        <v>162293</v>
      </c>
      <c r="F126" s="103">
        <f t="shared" si="81"/>
        <v>151172</v>
      </c>
      <c r="G126" s="103">
        <f t="shared" si="81"/>
        <v>0</v>
      </c>
      <c r="H126" s="103">
        <f t="shared" si="81"/>
        <v>151172</v>
      </c>
      <c r="I126" s="104">
        <f t="shared" si="74"/>
        <v>0.93147578761868965</v>
      </c>
      <c r="J126" s="105">
        <f t="shared" si="75"/>
        <v>1</v>
      </c>
    </row>
    <row r="127" spans="1:10" s="3" customFormat="1" ht="14.25" x14ac:dyDescent="0.25">
      <c r="A127" s="193" t="s">
        <v>45</v>
      </c>
      <c r="B127" s="194"/>
      <c r="C127" s="107">
        <f t="shared" ref="C127:H127" si="82">+C70</f>
        <v>40673</v>
      </c>
      <c r="D127" s="107">
        <f t="shared" si="82"/>
        <v>43613</v>
      </c>
      <c r="E127" s="107">
        <f t="shared" si="82"/>
        <v>42813</v>
      </c>
      <c r="F127" s="107">
        <f t="shared" si="82"/>
        <v>47727</v>
      </c>
      <c r="G127" s="107">
        <f t="shared" si="82"/>
        <v>238</v>
      </c>
      <c r="H127" s="107">
        <f t="shared" si="82"/>
        <v>47965</v>
      </c>
      <c r="I127" s="108">
        <f t="shared" si="74"/>
        <v>1.1203372807324878</v>
      </c>
      <c r="J127" s="109">
        <f t="shared" si="75"/>
        <v>1.0049866951620676</v>
      </c>
    </row>
    <row r="128" spans="1:10" s="3" customFormat="1" ht="14.25" x14ac:dyDescent="0.25">
      <c r="A128" s="195" t="s">
        <v>51</v>
      </c>
      <c r="B128" s="196"/>
      <c r="C128" s="110">
        <f t="shared" ref="C128:H128" si="83">+C85</f>
        <v>76381</v>
      </c>
      <c r="D128" s="110">
        <f t="shared" si="83"/>
        <v>100382</v>
      </c>
      <c r="E128" s="110">
        <f t="shared" si="83"/>
        <v>95258</v>
      </c>
      <c r="F128" s="110">
        <f t="shared" si="83"/>
        <v>91857</v>
      </c>
      <c r="G128" s="110">
        <f t="shared" si="83"/>
        <v>11769</v>
      </c>
      <c r="H128" s="110">
        <f t="shared" si="83"/>
        <v>103626</v>
      </c>
      <c r="I128" s="111">
        <f t="shared" si="74"/>
        <v>1.0878456402611854</v>
      </c>
      <c r="J128" s="112">
        <f t="shared" si="75"/>
        <v>1.1281230608445736</v>
      </c>
    </row>
    <row r="129" spans="1:10" s="3" customFormat="1" ht="14.25" x14ac:dyDescent="0.25">
      <c r="A129" s="197" t="s">
        <v>61</v>
      </c>
      <c r="B129" s="198"/>
      <c r="C129" s="113">
        <f t="shared" ref="C129:H129" si="84">+C98</f>
        <v>6000</v>
      </c>
      <c r="D129" s="113">
        <f t="shared" si="84"/>
        <v>6000</v>
      </c>
      <c r="E129" s="113">
        <f t="shared" si="84"/>
        <v>5500</v>
      </c>
      <c r="F129" s="113">
        <f t="shared" si="84"/>
        <v>10000</v>
      </c>
      <c r="G129" s="113">
        <f t="shared" si="84"/>
        <v>0</v>
      </c>
      <c r="H129" s="113">
        <f t="shared" si="84"/>
        <v>10000</v>
      </c>
      <c r="I129" s="114">
        <f t="shared" si="74"/>
        <v>1.8181818181818181</v>
      </c>
      <c r="J129" s="115">
        <f t="shared" si="75"/>
        <v>1</v>
      </c>
    </row>
    <row r="130" spans="1:10" s="3" customFormat="1" thickBot="1" x14ac:dyDescent="0.3">
      <c r="A130" s="209" t="s">
        <v>70</v>
      </c>
      <c r="B130" s="210"/>
      <c r="C130" s="127">
        <f>+C111</f>
        <v>1540</v>
      </c>
      <c r="D130" s="127">
        <f t="shared" ref="D130:H130" si="85">+D111</f>
        <v>2033</v>
      </c>
      <c r="E130" s="127">
        <f t="shared" si="85"/>
        <v>1740</v>
      </c>
      <c r="F130" s="127">
        <f t="shared" si="85"/>
        <v>1581</v>
      </c>
      <c r="G130" s="127">
        <f t="shared" si="85"/>
        <v>0</v>
      </c>
      <c r="H130" s="127">
        <f t="shared" si="85"/>
        <v>1581</v>
      </c>
      <c r="I130" s="128">
        <f t="shared" si="74"/>
        <v>0.9086206896551724</v>
      </c>
      <c r="J130" s="129">
        <f t="shared" si="75"/>
        <v>1</v>
      </c>
    </row>
    <row r="131" spans="1:10" ht="30" customHeight="1" thickBot="1" x14ac:dyDescent="0.3"/>
    <row r="132" spans="1:10" s="3" customFormat="1" ht="14.25" x14ac:dyDescent="0.25">
      <c r="A132" s="175" t="s">
        <v>193</v>
      </c>
      <c r="B132" s="176"/>
      <c r="C132" s="176" t="s">
        <v>187</v>
      </c>
      <c r="D132" s="176"/>
      <c r="E132" s="176"/>
      <c r="F132" s="156" t="s">
        <v>222</v>
      </c>
      <c r="G132" s="157"/>
      <c r="H132" s="158"/>
      <c r="I132" s="1" t="s">
        <v>4</v>
      </c>
      <c r="J132" s="2" t="s">
        <v>4</v>
      </c>
    </row>
    <row r="133" spans="1:10" ht="15" customHeight="1" x14ac:dyDescent="0.25">
      <c r="A133" s="169" t="s">
        <v>0</v>
      </c>
      <c r="B133" s="170"/>
      <c r="C133" s="159" t="s">
        <v>2</v>
      </c>
      <c r="D133" s="160" t="s">
        <v>206</v>
      </c>
      <c r="E133" s="160" t="s">
        <v>3</v>
      </c>
      <c r="F133" s="159" t="s">
        <v>2</v>
      </c>
      <c r="G133" s="159" t="s">
        <v>205</v>
      </c>
      <c r="H133" s="160" t="s">
        <v>206</v>
      </c>
      <c r="I133" s="161" t="s">
        <v>215</v>
      </c>
      <c r="J133" s="164" t="s">
        <v>216</v>
      </c>
    </row>
    <row r="134" spans="1:10" x14ac:dyDescent="0.25">
      <c r="A134" s="169" t="s">
        <v>75</v>
      </c>
      <c r="B134" s="170"/>
      <c r="C134" s="159"/>
      <c r="D134" s="160"/>
      <c r="E134" s="160"/>
      <c r="F134" s="159"/>
      <c r="G134" s="159"/>
      <c r="H134" s="160"/>
      <c r="I134" s="162"/>
      <c r="J134" s="165"/>
    </row>
    <row r="135" spans="1:10" ht="21" customHeight="1" x14ac:dyDescent="0.25">
      <c r="A135" s="167"/>
      <c r="B135" s="168"/>
      <c r="C135" s="69">
        <v>1</v>
      </c>
      <c r="D135" s="70">
        <v>2</v>
      </c>
      <c r="E135" s="70">
        <v>3</v>
      </c>
      <c r="F135" s="70">
        <v>4</v>
      </c>
      <c r="G135" s="69">
        <v>5</v>
      </c>
      <c r="H135" s="70">
        <v>6</v>
      </c>
      <c r="I135" s="163"/>
      <c r="J135" s="166"/>
    </row>
    <row r="136" spans="1:10" s="3" customFormat="1" ht="14.25" x14ac:dyDescent="0.25">
      <c r="A136" s="199" t="s">
        <v>76</v>
      </c>
      <c r="B136" s="200"/>
      <c r="C136" s="47">
        <f>SUM(C137:C137)+C142</f>
        <v>9869</v>
      </c>
      <c r="D136" s="47">
        <f t="shared" ref="D136:E136" si="86">SUM(D137:D137)+D142</f>
        <v>25423</v>
      </c>
      <c r="E136" s="47">
        <f t="shared" si="86"/>
        <v>26503</v>
      </c>
      <c r="F136" s="47">
        <f t="shared" ref="F136:H136" si="87">SUM(F137:F137)+F142</f>
        <v>3445</v>
      </c>
      <c r="G136" s="47">
        <f t="shared" si="87"/>
        <v>20438</v>
      </c>
      <c r="H136" s="47">
        <f t="shared" si="87"/>
        <v>23883</v>
      </c>
      <c r="I136" s="48">
        <f t="shared" ref="I136:I144" si="88">+H136/E136</f>
        <v>0.90114326679998491</v>
      </c>
      <c r="J136" s="49">
        <f t="shared" ref="J136:J142" si="89">+H136/F136</f>
        <v>6.9326560232220613</v>
      </c>
    </row>
    <row r="137" spans="1:10" x14ac:dyDescent="0.25">
      <c r="A137" s="75" t="s">
        <v>15</v>
      </c>
      <c r="B137" s="76" t="s">
        <v>77</v>
      </c>
      <c r="C137" s="15">
        <f>SUM(C138:C141)</f>
        <v>-3000</v>
      </c>
      <c r="D137" s="15">
        <f t="shared" ref="D137:E137" si="90">SUM(D138:D141)</f>
        <v>-9272</v>
      </c>
      <c r="E137" s="15">
        <f t="shared" si="90"/>
        <v>-8192</v>
      </c>
      <c r="F137" s="15">
        <f t="shared" ref="F137:H137" si="91">SUM(F138:F141)</f>
        <v>0</v>
      </c>
      <c r="G137" s="15">
        <f t="shared" si="91"/>
        <v>-2132</v>
      </c>
      <c r="H137" s="15">
        <f t="shared" si="91"/>
        <v>-2132</v>
      </c>
      <c r="I137" s="16">
        <f t="shared" si="88"/>
        <v>0.26025390625</v>
      </c>
      <c r="J137" s="97"/>
    </row>
    <row r="138" spans="1:10" s="133" customFormat="1" x14ac:dyDescent="0.25">
      <c r="A138" s="130"/>
      <c r="B138" s="131" t="s">
        <v>140</v>
      </c>
      <c r="C138" s="132">
        <v>-1000</v>
      </c>
      <c r="D138" s="132">
        <v>-1096</v>
      </c>
      <c r="E138" s="132">
        <v>-1096</v>
      </c>
      <c r="F138" s="132"/>
      <c r="G138" s="132"/>
      <c r="H138" s="15">
        <f t="shared" ref="H138:H142" si="92">+F138+G138</f>
        <v>0</v>
      </c>
      <c r="I138" s="16">
        <f t="shared" si="88"/>
        <v>0</v>
      </c>
      <c r="J138" s="97"/>
    </row>
    <row r="139" spans="1:10" s="133" customFormat="1" x14ac:dyDescent="0.25">
      <c r="A139" s="130"/>
      <c r="B139" s="131" t="s">
        <v>141</v>
      </c>
      <c r="C139" s="132">
        <v>-1000</v>
      </c>
      <c r="D139" s="132">
        <v>-1000</v>
      </c>
      <c r="E139" s="132">
        <v>-920</v>
      </c>
      <c r="F139" s="132"/>
      <c r="G139" s="132">
        <v>-2126</v>
      </c>
      <c r="H139" s="15">
        <f t="shared" si="92"/>
        <v>-2126</v>
      </c>
      <c r="I139" s="16">
        <f t="shared" si="88"/>
        <v>2.3108695652173914</v>
      </c>
      <c r="J139" s="97"/>
    </row>
    <row r="140" spans="1:10" s="133" customFormat="1" x14ac:dyDescent="0.25">
      <c r="A140" s="130"/>
      <c r="B140" s="131" t="s">
        <v>219</v>
      </c>
      <c r="C140" s="132"/>
      <c r="D140" s="132">
        <v>-289</v>
      </c>
      <c r="E140" s="132">
        <f>-220-69</f>
        <v>-289</v>
      </c>
      <c r="F140" s="132"/>
      <c r="G140" s="132">
        <v>-6</v>
      </c>
      <c r="H140" s="15">
        <f t="shared" si="92"/>
        <v>-6</v>
      </c>
      <c r="I140" s="16">
        <f t="shared" si="88"/>
        <v>2.0761245674740483E-2</v>
      </c>
      <c r="J140" s="97"/>
    </row>
    <row r="141" spans="1:10" s="133" customFormat="1" x14ac:dyDescent="0.25">
      <c r="A141" s="130" t="s">
        <v>148</v>
      </c>
      <c r="B141" s="131" t="s">
        <v>150</v>
      </c>
      <c r="C141" s="132">
        <v>-1000</v>
      </c>
      <c r="D141" s="132">
        <v>-6887</v>
      </c>
      <c r="E141" s="132">
        <v>-5887</v>
      </c>
      <c r="F141" s="132"/>
      <c r="G141" s="132"/>
      <c r="H141" s="15">
        <f t="shared" si="92"/>
        <v>0</v>
      </c>
      <c r="I141" s="16"/>
      <c r="J141" s="97"/>
    </row>
    <row r="142" spans="1:10" x14ac:dyDescent="0.25">
      <c r="A142" s="75" t="s">
        <v>13</v>
      </c>
      <c r="B142" s="76" t="s">
        <v>175</v>
      </c>
      <c r="C142" s="15">
        <v>12869</v>
      </c>
      <c r="D142" s="15">
        <v>34695</v>
      </c>
      <c r="E142" s="15">
        <f>12950+21745</f>
        <v>34695</v>
      </c>
      <c r="F142" s="15">
        <v>3445</v>
      </c>
      <c r="G142" s="15">
        <v>22570</v>
      </c>
      <c r="H142" s="15">
        <f t="shared" si="92"/>
        <v>26015</v>
      </c>
      <c r="I142" s="16">
        <f t="shared" si="88"/>
        <v>0.74981985876927515</v>
      </c>
      <c r="J142" s="97">
        <f t="shared" si="89"/>
        <v>7.5515239477503631</v>
      </c>
    </row>
    <row r="143" spans="1:10" ht="15.75" thickBot="1" x14ac:dyDescent="0.3">
      <c r="A143" s="80"/>
      <c r="B143" s="81"/>
      <c r="C143" s="83"/>
      <c r="D143" s="83"/>
      <c r="E143" s="83"/>
      <c r="F143" s="83"/>
      <c r="G143" s="83"/>
      <c r="H143" s="83"/>
      <c r="I143" s="53"/>
      <c r="J143" s="134"/>
    </row>
    <row r="144" spans="1:10" s="3" customFormat="1" ht="27.75" customHeight="1" thickBot="1" x14ac:dyDescent="0.3">
      <c r="A144" s="201" t="s">
        <v>212</v>
      </c>
      <c r="B144" s="202"/>
      <c r="C144" s="61">
        <f t="shared" ref="C144:H144" si="93">+C120+C136</f>
        <v>998549</v>
      </c>
      <c r="D144" s="61">
        <f t="shared" si="93"/>
        <v>1114429</v>
      </c>
      <c r="E144" s="61">
        <f t="shared" si="93"/>
        <v>1089658</v>
      </c>
      <c r="F144" s="61">
        <f t="shared" si="93"/>
        <v>1083241</v>
      </c>
      <c r="G144" s="61">
        <f t="shared" si="93"/>
        <v>66825</v>
      </c>
      <c r="H144" s="61">
        <f t="shared" si="93"/>
        <v>1150066</v>
      </c>
      <c r="I144" s="62">
        <f t="shared" si="88"/>
        <v>1.055437577661982</v>
      </c>
      <c r="J144" s="63">
        <f>+H144/F144</f>
        <v>1.0616898732599671</v>
      </c>
    </row>
    <row r="145" spans="1:10" s="3" customFormat="1" thickBot="1" x14ac:dyDescent="0.3">
      <c r="A145" s="135"/>
      <c r="B145" s="135"/>
      <c r="C145" s="136"/>
      <c r="D145" s="136"/>
      <c r="E145" s="136"/>
      <c r="F145" s="136"/>
      <c r="G145" s="136"/>
      <c r="H145" s="136"/>
      <c r="I145" s="137"/>
      <c r="J145" s="138"/>
    </row>
    <row r="146" spans="1:10" s="3" customFormat="1" ht="14.25" x14ac:dyDescent="0.25">
      <c r="A146" s="175" t="s">
        <v>193</v>
      </c>
      <c r="B146" s="176"/>
      <c r="C146" s="176" t="s">
        <v>187</v>
      </c>
      <c r="D146" s="176"/>
      <c r="E146" s="176"/>
      <c r="F146" s="156" t="s">
        <v>222</v>
      </c>
      <c r="G146" s="157"/>
      <c r="H146" s="158"/>
      <c r="I146" s="1" t="s">
        <v>4</v>
      </c>
      <c r="J146" s="2" t="s">
        <v>4</v>
      </c>
    </row>
    <row r="147" spans="1:10" ht="15" customHeight="1" x14ac:dyDescent="0.25">
      <c r="A147" s="169" t="s">
        <v>0</v>
      </c>
      <c r="B147" s="170"/>
      <c r="C147" s="159" t="s">
        <v>2</v>
      </c>
      <c r="D147" s="160" t="s">
        <v>206</v>
      </c>
      <c r="E147" s="160" t="s">
        <v>3</v>
      </c>
      <c r="F147" s="159" t="s">
        <v>2</v>
      </c>
      <c r="G147" s="159" t="s">
        <v>205</v>
      </c>
      <c r="H147" s="160" t="s">
        <v>206</v>
      </c>
      <c r="I147" s="161" t="s">
        <v>215</v>
      </c>
      <c r="J147" s="164" t="s">
        <v>216</v>
      </c>
    </row>
    <row r="148" spans="1:10" x14ac:dyDescent="0.25">
      <c r="A148" s="169" t="s">
        <v>75</v>
      </c>
      <c r="B148" s="170"/>
      <c r="C148" s="159"/>
      <c r="D148" s="160"/>
      <c r="E148" s="160"/>
      <c r="F148" s="159"/>
      <c r="G148" s="159"/>
      <c r="H148" s="160"/>
      <c r="I148" s="162"/>
      <c r="J148" s="165"/>
    </row>
    <row r="149" spans="1:10" ht="21.75" customHeight="1" x14ac:dyDescent="0.25">
      <c r="A149" s="167"/>
      <c r="B149" s="168"/>
      <c r="C149" s="69">
        <v>1</v>
      </c>
      <c r="D149" s="70">
        <v>2</v>
      </c>
      <c r="E149" s="70">
        <v>3</v>
      </c>
      <c r="F149" s="70">
        <v>4</v>
      </c>
      <c r="G149" s="69">
        <v>5</v>
      </c>
      <c r="H149" s="70">
        <v>6</v>
      </c>
      <c r="I149" s="163"/>
      <c r="J149" s="166"/>
    </row>
    <row r="150" spans="1:10" s="3" customFormat="1" ht="14.25" x14ac:dyDescent="0.25">
      <c r="A150" s="199" t="s">
        <v>183</v>
      </c>
      <c r="B150" s="200"/>
      <c r="C150" s="47">
        <f t="shared" ref="C150:E150" si="94">SUM(C151:C156)</f>
        <v>76661</v>
      </c>
      <c r="D150" s="47">
        <f t="shared" si="94"/>
        <v>56789</v>
      </c>
      <c r="E150" s="47">
        <f t="shared" si="94"/>
        <v>0</v>
      </c>
      <c r="F150" s="47">
        <f t="shared" ref="F150:H150" si="95">SUM(F151:F156)</f>
        <v>71132</v>
      </c>
      <c r="G150" s="47">
        <f t="shared" si="95"/>
        <v>13108</v>
      </c>
      <c r="H150" s="47">
        <f t="shared" si="95"/>
        <v>84240</v>
      </c>
      <c r="I150" s="139"/>
      <c r="J150" s="49">
        <f t="shared" ref="J150:J158" si="96">+H150/F150</f>
        <v>1.1842771185964123</v>
      </c>
    </row>
    <row r="151" spans="1:10" x14ac:dyDescent="0.25">
      <c r="A151" s="75" t="s">
        <v>13</v>
      </c>
      <c r="B151" s="76" t="s">
        <v>78</v>
      </c>
      <c r="C151" s="15">
        <v>10000</v>
      </c>
      <c r="D151" s="15">
        <v>19435</v>
      </c>
      <c r="E151" s="15"/>
      <c r="F151" s="15">
        <v>10000</v>
      </c>
      <c r="G151" s="15">
        <v>-7702</v>
      </c>
      <c r="H151" s="15">
        <f t="shared" ref="H151:H159" si="97">+F151+G151</f>
        <v>2298</v>
      </c>
      <c r="I151" s="76"/>
      <c r="J151" s="97">
        <f t="shared" si="96"/>
        <v>0.2298</v>
      </c>
    </row>
    <row r="152" spans="1:10" x14ac:dyDescent="0.25">
      <c r="A152" s="75" t="s">
        <v>13</v>
      </c>
      <c r="B152" s="76" t="s">
        <v>213</v>
      </c>
      <c r="C152" s="15">
        <v>56961</v>
      </c>
      <c r="D152" s="15">
        <v>20680</v>
      </c>
      <c r="E152" s="15"/>
      <c r="F152" s="15">
        <v>29460</v>
      </c>
      <c r="G152" s="15">
        <v>9995</v>
      </c>
      <c r="H152" s="15">
        <f t="shared" si="97"/>
        <v>39455</v>
      </c>
      <c r="I152" s="76"/>
      <c r="J152" s="97">
        <f t="shared" si="96"/>
        <v>1.3392735913102511</v>
      </c>
    </row>
    <row r="153" spans="1:10" x14ac:dyDescent="0.25">
      <c r="A153" s="75" t="s">
        <v>13</v>
      </c>
      <c r="B153" s="76" t="s">
        <v>224</v>
      </c>
      <c r="C153" s="15"/>
      <c r="D153" s="15"/>
      <c r="E153" s="15"/>
      <c r="F153" s="15">
        <v>13500</v>
      </c>
      <c r="G153" s="15"/>
      <c r="H153" s="15">
        <f t="shared" si="97"/>
        <v>13500</v>
      </c>
      <c r="I153" s="76"/>
      <c r="J153" s="97">
        <f t="shared" si="96"/>
        <v>1</v>
      </c>
    </row>
    <row r="154" spans="1:10" x14ac:dyDescent="0.25">
      <c r="A154" s="75" t="s">
        <v>13</v>
      </c>
      <c r="B154" s="76" t="s">
        <v>225</v>
      </c>
      <c r="C154" s="15"/>
      <c r="D154" s="15"/>
      <c r="E154" s="15"/>
      <c r="F154" s="15">
        <v>14000</v>
      </c>
      <c r="G154" s="15">
        <v>-2360</v>
      </c>
      <c r="H154" s="15">
        <f t="shared" ref="H154" si="98">+F154+G154</f>
        <v>11640</v>
      </c>
      <c r="I154" s="76"/>
      <c r="J154" s="97">
        <f t="shared" ref="J154" si="99">+H154/F154</f>
        <v>0.83142857142857141</v>
      </c>
    </row>
    <row r="155" spans="1:10" x14ac:dyDescent="0.25">
      <c r="A155" s="75" t="s">
        <v>13</v>
      </c>
      <c r="B155" s="76" t="s">
        <v>176</v>
      </c>
      <c r="C155" s="15"/>
      <c r="D155" s="15">
        <v>10711</v>
      </c>
      <c r="E155" s="15"/>
      <c r="F155" s="15">
        <v>4172</v>
      </c>
      <c r="G155" s="15">
        <v>10251</v>
      </c>
      <c r="H155" s="15">
        <f t="shared" si="97"/>
        <v>14423</v>
      </c>
      <c r="I155" s="76"/>
      <c r="J155" s="97">
        <f t="shared" si="96"/>
        <v>3.4570949185043145</v>
      </c>
    </row>
    <row r="156" spans="1:10" x14ac:dyDescent="0.25">
      <c r="A156" s="75" t="s">
        <v>13</v>
      </c>
      <c r="B156" s="76" t="s">
        <v>147</v>
      </c>
      <c r="C156" s="15">
        <v>9700</v>
      </c>
      <c r="D156" s="15">
        <v>5963</v>
      </c>
      <c r="E156" s="15"/>
      <c r="F156" s="15"/>
      <c r="G156" s="15">
        <v>2924</v>
      </c>
      <c r="H156" s="15">
        <f t="shared" si="97"/>
        <v>2924</v>
      </c>
      <c r="I156" s="76"/>
      <c r="J156" s="97"/>
    </row>
    <row r="157" spans="1:10" s="3" customFormat="1" ht="14.25" x14ac:dyDescent="0.25">
      <c r="A157" s="199" t="s">
        <v>184</v>
      </c>
      <c r="B157" s="200"/>
      <c r="C157" s="47">
        <f t="shared" ref="C157:E157" si="100">SUM(C158:C160)</f>
        <v>121724</v>
      </c>
      <c r="D157" s="47">
        <f t="shared" si="100"/>
        <v>190777</v>
      </c>
      <c r="E157" s="47">
        <f t="shared" si="100"/>
        <v>0</v>
      </c>
      <c r="F157" s="47">
        <f t="shared" ref="F157:H157" si="101">SUM(F158:F160)</f>
        <v>67876</v>
      </c>
      <c r="G157" s="47">
        <f t="shared" si="101"/>
        <v>262273</v>
      </c>
      <c r="H157" s="47">
        <f t="shared" si="101"/>
        <v>330149</v>
      </c>
      <c r="I157" s="139"/>
      <c r="J157" s="49">
        <f t="shared" si="96"/>
        <v>4.8640020036537219</v>
      </c>
    </row>
    <row r="158" spans="1:10" s="92" customFormat="1" x14ac:dyDescent="0.25">
      <c r="A158" s="140"/>
      <c r="B158" s="141" t="s">
        <v>214</v>
      </c>
      <c r="C158" s="90">
        <f>45439+20000</f>
        <v>65439</v>
      </c>
      <c r="D158" s="90">
        <v>190777</v>
      </c>
      <c r="E158" s="90"/>
      <c r="F158" s="90">
        <v>67876</v>
      </c>
      <c r="G158" s="90">
        <v>262273</v>
      </c>
      <c r="H158" s="15">
        <f t="shared" si="97"/>
        <v>330149</v>
      </c>
      <c r="I158" s="141"/>
      <c r="J158" s="97">
        <f t="shared" si="96"/>
        <v>4.8640020036537219</v>
      </c>
    </row>
    <row r="159" spans="1:10" s="92" customFormat="1" ht="15.75" thickBot="1" x14ac:dyDescent="0.3">
      <c r="A159" s="140"/>
      <c r="B159" s="141" t="s">
        <v>137</v>
      </c>
      <c r="C159" s="90">
        <v>29000</v>
      </c>
      <c r="D159" s="90">
        <v>0</v>
      </c>
      <c r="E159" s="90"/>
      <c r="F159" s="90"/>
      <c r="G159" s="90"/>
      <c r="H159" s="15">
        <f t="shared" si="97"/>
        <v>0</v>
      </c>
      <c r="I159" s="141"/>
      <c r="J159" s="97"/>
    </row>
    <row r="160" spans="1:10" s="92" customFormat="1" ht="15.75" thickBot="1" x14ac:dyDescent="0.3">
      <c r="A160" s="140"/>
      <c r="B160" s="141" t="s">
        <v>203</v>
      </c>
      <c r="C160" s="90">
        <v>27285</v>
      </c>
      <c r="D160" s="90">
        <v>0</v>
      </c>
      <c r="E160" s="90"/>
      <c r="F160" s="90"/>
      <c r="G160" s="90"/>
      <c r="H160" s="90">
        <f>+F160+G160</f>
        <v>0</v>
      </c>
      <c r="I160" s="141"/>
      <c r="J160" s="91"/>
    </row>
    <row r="161" spans="1:10" s="92" customFormat="1" ht="15.75" thickBot="1" x14ac:dyDescent="0.3">
      <c r="A161" s="215" t="s">
        <v>204</v>
      </c>
      <c r="B161" s="216"/>
      <c r="C161" s="61">
        <f t="shared" ref="C161:E161" si="102">+C150+C157</f>
        <v>198385</v>
      </c>
      <c r="D161" s="61">
        <f t="shared" si="102"/>
        <v>247566</v>
      </c>
      <c r="E161" s="61">
        <f t="shared" si="102"/>
        <v>0</v>
      </c>
      <c r="F161" s="61">
        <f t="shared" ref="F161:H161" si="103">+F150+F157</f>
        <v>139008</v>
      </c>
      <c r="G161" s="61">
        <f t="shared" si="103"/>
        <v>275381</v>
      </c>
      <c r="H161" s="61">
        <f t="shared" si="103"/>
        <v>414389</v>
      </c>
      <c r="I161" s="142"/>
      <c r="J161" s="63">
        <f>+H161/F161</f>
        <v>2.9810442564456721</v>
      </c>
    </row>
    <row r="162" spans="1:10" s="143" customFormat="1" ht="14.25" x14ac:dyDescent="0.25">
      <c r="A162" s="135"/>
      <c r="B162" s="135"/>
      <c r="C162" s="136"/>
      <c r="D162" s="136"/>
      <c r="E162" s="136"/>
      <c r="F162" s="136"/>
      <c r="G162" s="136"/>
      <c r="H162" s="136"/>
      <c r="I162" s="137"/>
      <c r="J162" s="138"/>
    </row>
    <row r="163" spans="1:10" ht="15.75" thickBot="1" x14ac:dyDescent="0.3"/>
    <row r="164" spans="1:10" s="3" customFormat="1" ht="14.25" x14ac:dyDescent="0.25">
      <c r="A164" s="175" t="s">
        <v>193</v>
      </c>
      <c r="B164" s="176"/>
      <c r="C164" s="176" t="s">
        <v>187</v>
      </c>
      <c r="D164" s="176"/>
      <c r="E164" s="176"/>
      <c r="F164" s="156" t="s">
        <v>222</v>
      </c>
      <c r="G164" s="157"/>
      <c r="H164" s="158"/>
      <c r="I164" s="1" t="s">
        <v>4</v>
      </c>
      <c r="J164" s="2" t="s">
        <v>4</v>
      </c>
    </row>
    <row r="165" spans="1:10" ht="15" customHeight="1" x14ac:dyDescent="0.25">
      <c r="A165" s="169" t="s">
        <v>151</v>
      </c>
      <c r="B165" s="170"/>
      <c r="C165" s="159" t="s">
        <v>2</v>
      </c>
      <c r="D165" s="160" t="s">
        <v>206</v>
      </c>
      <c r="E165" s="160" t="s">
        <v>3</v>
      </c>
      <c r="F165" s="159" t="s">
        <v>2</v>
      </c>
      <c r="G165" s="159" t="s">
        <v>205</v>
      </c>
      <c r="H165" s="160" t="s">
        <v>206</v>
      </c>
      <c r="I165" s="161" t="s">
        <v>215</v>
      </c>
      <c r="J165" s="164" t="s">
        <v>216</v>
      </c>
    </row>
    <row r="166" spans="1:10" x14ac:dyDescent="0.25">
      <c r="A166" s="169" t="s">
        <v>75</v>
      </c>
      <c r="B166" s="170"/>
      <c r="C166" s="159"/>
      <c r="D166" s="160"/>
      <c r="E166" s="160"/>
      <c r="F166" s="159"/>
      <c r="G166" s="159"/>
      <c r="H166" s="160"/>
      <c r="I166" s="162"/>
      <c r="J166" s="165"/>
    </row>
    <row r="167" spans="1:10" ht="22.5" customHeight="1" x14ac:dyDescent="0.25">
      <c r="A167" s="167"/>
      <c r="B167" s="168"/>
      <c r="C167" s="69">
        <v>1</v>
      </c>
      <c r="D167" s="70">
        <v>2</v>
      </c>
      <c r="E167" s="70">
        <v>3</v>
      </c>
      <c r="F167" s="70">
        <v>4</v>
      </c>
      <c r="G167" s="69">
        <v>5</v>
      </c>
      <c r="H167" s="70">
        <v>6</v>
      </c>
      <c r="I167" s="163"/>
      <c r="J167" s="166"/>
    </row>
    <row r="168" spans="1:10" s="3" customFormat="1" ht="14.25" x14ac:dyDescent="0.25">
      <c r="A168" s="199" t="s">
        <v>186</v>
      </c>
      <c r="B168" s="200"/>
      <c r="C168" s="47">
        <f t="shared" ref="C168:E168" si="104">SUM(C169:C171)</f>
        <v>3000</v>
      </c>
      <c r="D168" s="47">
        <f t="shared" si="104"/>
        <v>158961</v>
      </c>
      <c r="E168" s="47">
        <f t="shared" si="104"/>
        <v>132468</v>
      </c>
      <c r="F168" s="47">
        <f t="shared" ref="F168" si="105">SUM(F169:F171)</f>
        <v>0</v>
      </c>
      <c r="G168" s="47">
        <f t="shared" ref="G168" si="106">SUM(G169:G171)</f>
        <v>73230</v>
      </c>
      <c r="H168" s="47">
        <f t="shared" ref="H168" si="107">SUM(H169:H171)</f>
        <v>73230</v>
      </c>
      <c r="I168" s="48">
        <f t="shared" ref="I168:I193" si="108">+H168/E168</f>
        <v>0.55281275477851255</v>
      </c>
      <c r="J168" s="49"/>
    </row>
    <row r="169" spans="1:10" x14ac:dyDescent="0.25">
      <c r="A169" s="75"/>
      <c r="B169" s="76" t="s">
        <v>159</v>
      </c>
      <c r="C169" s="15"/>
      <c r="D169" s="15">
        <v>148678</v>
      </c>
      <c r="E169" s="150">
        <f>1473+86315+10683+21400+220+69+3105</f>
        <v>123265</v>
      </c>
      <c r="F169" s="15"/>
      <c r="G169" s="15">
        <f>379+1000+18651+24257+6</f>
        <v>44293</v>
      </c>
      <c r="H169" s="15">
        <f t="shared" ref="H169:H171" si="109">+F169+G169</f>
        <v>44293</v>
      </c>
      <c r="I169" s="16">
        <f t="shared" si="108"/>
        <v>0.35933152151867925</v>
      </c>
      <c r="J169" s="97"/>
    </row>
    <row r="170" spans="1:10" x14ac:dyDescent="0.25">
      <c r="A170" s="75"/>
      <c r="B170" s="76" t="s">
        <v>173</v>
      </c>
      <c r="C170" s="15">
        <v>1000</v>
      </c>
      <c r="D170" s="15">
        <v>8187</v>
      </c>
      <c r="E170" s="15">
        <f>5887+1300</f>
        <v>7187</v>
      </c>
      <c r="F170" s="15"/>
      <c r="G170" s="15">
        <v>26811</v>
      </c>
      <c r="H170" s="15">
        <f t="shared" si="109"/>
        <v>26811</v>
      </c>
      <c r="I170" s="16">
        <f t="shared" si="108"/>
        <v>3.7304855989981913</v>
      </c>
      <c r="J170" s="97"/>
    </row>
    <row r="171" spans="1:10" x14ac:dyDescent="0.25">
      <c r="A171" s="75"/>
      <c r="B171" s="76" t="s">
        <v>172</v>
      </c>
      <c r="C171" s="15">
        <v>2000</v>
      </c>
      <c r="D171" s="15">
        <v>2096</v>
      </c>
      <c r="E171" s="15">
        <f>1096+920</f>
        <v>2016</v>
      </c>
      <c r="F171" s="15"/>
      <c r="G171" s="15">
        <v>2126</v>
      </c>
      <c r="H171" s="15">
        <f t="shared" si="109"/>
        <v>2126</v>
      </c>
      <c r="I171" s="16">
        <f t="shared" si="108"/>
        <v>1.0545634920634921</v>
      </c>
      <c r="J171" s="97"/>
    </row>
    <row r="172" spans="1:10" s="3" customFormat="1" ht="14.25" x14ac:dyDescent="0.25">
      <c r="A172" s="217" t="s">
        <v>185</v>
      </c>
      <c r="B172" s="218"/>
      <c r="C172" s="144">
        <f t="shared" ref="C172:E172" si="110">SUM(C173:C189)</f>
        <v>544555</v>
      </c>
      <c r="D172" s="144">
        <f t="shared" si="110"/>
        <v>757813</v>
      </c>
      <c r="E172" s="144">
        <f t="shared" si="110"/>
        <v>441093</v>
      </c>
      <c r="F172" s="144">
        <f t="shared" ref="F172:H172" si="111">SUM(F173:F189)</f>
        <v>216228</v>
      </c>
      <c r="G172" s="144">
        <f t="shared" si="111"/>
        <v>572443</v>
      </c>
      <c r="H172" s="144">
        <f t="shared" si="111"/>
        <v>788671</v>
      </c>
      <c r="I172" s="145">
        <f t="shared" si="108"/>
        <v>1.7879925548580458</v>
      </c>
      <c r="J172" s="49">
        <f t="shared" ref="J172" si="112">+H172/F172</f>
        <v>3.6474045914497659</v>
      </c>
    </row>
    <row r="173" spans="1:10" s="133" customFormat="1" x14ac:dyDescent="0.25">
      <c r="A173" s="130"/>
      <c r="B173" s="131" t="s">
        <v>160</v>
      </c>
      <c r="C173" s="132">
        <v>47717</v>
      </c>
      <c r="D173" s="132">
        <v>59794</v>
      </c>
      <c r="E173" s="132">
        <v>59794</v>
      </c>
      <c r="F173" s="132"/>
      <c r="G173" s="132"/>
      <c r="H173" s="15">
        <f t="shared" ref="H173:H189" si="113">+F173+G173</f>
        <v>0</v>
      </c>
      <c r="I173" s="16">
        <f t="shared" si="108"/>
        <v>0</v>
      </c>
      <c r="J173" s="97"/>
    </row>
    <row r="174" spans="1:10" s="133" customFormat="1" x14ac:dyDescent="0.25">
      <c r="A174" s="130"/>
      <c r="B174" s="131" t="s">
        <v>161</v>
      </c>
      <c r="C174" s="132">
        <v>850</v>
      </c>
      <c r="D174" s="132">
        <v>0</v>
      </c>
      <c r="E174" s="132"/>
      <c r="F174" s="132"/>
      <c r="G174" s="132"/>
      <c r="H174" s="15">
        <f t="shared" si="113"/>
        <v>0</v>
      </c>
      <c r="I174" s="16"/>
      <c r="J174" s="97"/>
    </row>
    <row r="175" spans="1:10" s="133" customFormat="1" x14ac:dyDescent="0.25">
      <c r="A175" s="130"/>
      <c r="B175" s="131" t="s">
        <v>162</v>
      </c>
      <c r="C175" s="132">
        <v>24</v>
      </c>
      <c r="D175" s="132">
        <v>2510</v>
      </c>
      <c r="E175" s="132">
        <v>2510</v>
      </c>
      <c r="F175" s="132"/>
      <c r="G175" s="132">
        <v>5018</v>
      </c>
      <c r="H175" s="15">
        <f t="shared" si="113"/>
        <v>5018</v>
      </c>
      <c r="I175" s="16">
        <f t="shared" si="108"/>
        <v>1.9992031872509961</v>
      </c>
      <c r="J175" s="97"/>
    </row>
    <row r="176" spans="1:10" s="133" customFormat="1" x14ac:dyDescent="0.25">
      <c r="A176" s="130"/>
      <c r="B176" s="131" t="s">
        <v>163</v>
      </c>
      <c r="C176" s="132"/>
      <c r="D176" s="132">
        <v>30</v>
      </c>
      <c r="E176" s="132">
        <v>30</v>
      </c>
      <c r="F176" s="132"/>
      <c r="G176" s="132">
        <v>4708</v>
      </c>
      <c r="H176" s="15">
        <f t="shared" si="113"/>
        <v>4708</v>
      </c>
      <c r="I176" s="16">
        <f t="shared" si="108"/>
        <v>156.93333333333334</v>
      </c>
      <c r="J176" s="97"/>
    </row>
    <row r="177" spans="1:10" s="133" customFormat="1" x14ac:dyDescent="0.25">
      <c r="A177" s="130"/>
      <c r="B177" s="131" t="s">
        <v>164</v>
      </c>
      <c r="C177" s="132">
        <v>10900</v>
      </c>
      <c r="D177" s="132">
        <v>10900</v>
      </c>
      <c r="E177" s="132">
        <v>2399</v>
      </c>
      <c r="F177" s="132"/>
      <c r="G177" s="132">
        <v>8165</v>
      </c>
      <c r="H177" s="15">
        <f t="shared" si="113"/>
        <v>8165</v>
      </c>
      <c r="I177" s="16">
        <f t="shared" si="108"/>
        <v>3.4035014589412254</v>
      </c>
      <c r="J177" s="97"/>
    </row>
    <row r="178" spans="1:10" s="133" customFormat="1" x14ac:dyDescent="0.25">
      <c r="A178" s="130"/>
      <c r="B178" s="131" t="s">
        <v>165</v>
      </c>
      <c r="C178" s="132">
        <v>562</v>
      </c>
      <c r="D178" s="132">
        <v>513</v>
      </c>
      <c r="E178" s="132">
        <v>513</v>
      </c>
      <c r="F178" s="132"/>
      <c r="G178" s="132"/>
      <c r="H178" s="15">
        <f t="shared" si="113"/>
        <v>0</v>
      </c>
      <c r="I178" s="16">
        <f t="shared" si="108"/>
        <v>0</v>
      </c>
      <c r="J178" s="97"/>
    </row>
    <row r="179" spans="1:10" s="133" customFormat="1" x14ac:dyDescent="0.25">
      <c r="A179" s="130"/>
      <c r="B179" s="131" t="s">
        <v>166</v>
      </c>
      <c r="C179" s="132">
        <v>27792</v>
      </c>
      <c r="D179" s="132">
        <v>19622</v>
      </c>
      <c r="E179" s="132">
        <v>19621</v>
      </c>
      <c r="F179" s="132"/>
      <c r="G179" s="132"/>
      <c r="H179" s="15">
        <f t="shared" si="113"/>
        <v>0</v>
      </c>
      <c r="I179" s="16">
        <f t="shared" si="108"/>
        <v>0</v>
      </c>
      <c r="J179" s="97"/>
    </row>
    <row r="180" spans="1:10" s="133" customFormat="1" x14ac:dyDescent="0.25">
      <c r="A180" s="130"/>
      <c r="B180" s="131" t="s">
        <v>167</v>
      </c>
      <c r="C180" s="132">
        <v>434</v>
      </c>
      <c r="D180" s="132">
        <v>536</v>
      </c>
      <c r="E180" s="132">
        <v>536</v>
      </c>
      <c r="F180" s="132"/>
      <c r="G180" s="132"/>
      <c r="H180" s="15">
        <f t="shared" si="113"/>
        <v>0</v>
      </c>
      <c r="I180" s="16"/>
      <c r="J180" s="97"/>
    </row>
    <row r="181" spans="1:10" s="133" customFormat="1" x14ac:dyDescent="0.25">
      <c r="A181" s="130"/>
      <c r="B181" s="131" t="s">
        <v>168</v>
      </c>
      <c r="C181" s="132">
        <v>128205</v>
      </c>
      <c r="D181" s="132">
        <v>132629</v>
      </c>
      <c r="E181" s="132">
        <v>132629</v>
      </c>
      <c r="F181" s="132"/>
      <c r="G181" s="132"/>
      <c r="H181" s="15">
        <f t="shared" si="113"/>
        <v>0</v>
      </c>
      <c r="I181" s="16">
        <f t="shared" si="108"/>
        <v>0</v>
      </c>
      <c r="J181" s="97"/>
    </row>
    <row r="182" spans="1:10" s="133" customFormat="1" x14ac:dyDescent="0.25">
      <c r="A182" s="146"/>
      <c r="B182" s="131" t="s">
        <v>169</v>
      </c>
      <c r="C182" s="147">
        <v>99384</v>
      </c>
      <c r="D182" s="147">
        <v>99384</v>
      </c>
      <c r="E182" s="147">
        <v>99234</v>
      </c>
      <c r="F182" s="147"/>
      <c r="G182" s="147"/>
      <c r="H182" s="15">
        <f t="shared" si="113"/>
        <v>0</v>
      </c>
      <c r="I182" s="53">
        <f t="shared" si="108"/>
        <v>0</v>
      </c>
      <c r="J182" s="97"/>
    </row>
    <row r="183" spans="1:10" s="133" customFormat="1" x14ac:dyDescent="0.25">
      <c r="A183" s="146"/>
      <c r="B183" s="131" t="s">
        <v>207</v>
      </c>
      <c r="C183" s="147"/>
      <c r="D183" s="147">
        <v>31176</v>
      </c>
      <c r="E183" s="147">
        <v>31176</v>
      </c>
      <c r="F183" s="147"/>
      <c r="G183" s="147"/>
      <c r="H183" s="15">
        <f t="shared" ref="H183" si="114">+F183+G183</f>
        <v>0</v>
      </c>
      <c r="I183" s="53">
        <f t="shared" si="108"/>
        <v>0</v>
      </c>
      <c r="J183" s="97"/>
    </row>
    <row r="184" spans="1:10" s="133" customFormat="1" x14ac:dyDescent="0.25">
      <c r="A184" s="146"/>
      <c r="B184" s="131" t="s">
        <v>218</v>
      </c>
      <c r="C184" s="147"/>
      <c r="D184" s="147">
        <v>91840</v>
      </c>
      <c r="E184" s="147"/>
      <c r="F184" s="147"/>
      <c r="G184" s="147">
        <v>91940</v>
      </c>
      <c r="H184" s="15">
        <f t="shared" si="113"/>
        <v>91940</v>
      </c>
      <c r="I184" s="53"/>
      <c r="J184" s="97"/>
    </row>
    <row r="185" spans="1:10" s="133" customFormat="1" x14ac:dyDescent="0.25">
      <c r="A185" s="146"/>
      <c r="B185" s="131" t="s">
        <v>170</v>
      </c>
      <c r="C185" s="147"/>
      <c r="D185" s="147">
        <v>80036</v>
      </c>
      <c r="E185" s="147">
        <v>80036</v>
      </c>
      <c r="F185" s="147"/>
      <c r="G185" s="147"/>
      <c r="H185" s="15">
        <f t="shared" si="113"/>
        <v>0</v>
      </c>
      <c r="I185" s="53"/>
      <c r="J185" s="97"/>
    </row>
    <row r="186" spans="1:10" s="133" customFormat="1" x14ac:dyDescent="0.25">
      <c r="A186" s="146"/>
      <c r="B186" s="131" t="s">
        <v>226</v>
      </c>
      <c r="C186" s="147"/>
      <c r="D186" s="147">
        <v>0</v>
      </c>
      <c r="E186" s="147"/>
      <c r="F186" s="147"/>
      <c r="G186" s="147">
        <v>250000</v>
      </c>
      <c r="H186" s="15">
        <f t="shared" si="113"/>
        <v>250000</v>
      </c>
      <c r="I186" s="53"/>
      <c r="J186" s="97"/>
    </row>
    <row r="187" spans="1:10" s="133" customFormat="1" x14ac:dyDescent="0.25">
      <c r="A187" s="146"/>
      <c r="B187" s="131" t="s">
        <v>174</v>
      </c>
      <c r="C187" s="147">
        <v>220943</v>
      </c>
      <c r="D187" s="147">
        <v>220943</v>
      </c>
      <c r="E187" s="147">
        <v>4715</v>
      </c>
      <c r="F187" s="147">
        <v>216228</v>
      </c>
      <c r="G187" s="147"/>
      <c r="H187" s="15">
        <f t="shared" si="113"/>
        <v>216228</v>
      </c>
      <c r="I187" s="53">
        <f t="shared" si="108"/>
        <v>45.859597030752916</v>
      </c>
      <c r="J187" s="97">
        <f>+H187/F187</f>
        <v>1</v>
      </c>
    </row>
    <row r="188" spans="1:10" s="133" customFormat="1" x14ac:dyDescent="0.25">
      <c r="A188" s="130"/>
      <c r="B188" s="131" t="s">
        <v>227</v>
      </c>
      <c r="C188" s="132"/>
      <c r="D188" s="132"/>
      <c r="E188" s="132"/>
      <c r="F188" s="132"/>
      <c r="G188" s="132">
        <v>212612</v>
      </c>
      <c r="H188" s="15">
        <f t="shared" ref="H188" si="115">+F188+G188</f>
        <v>212612</v>
      </c>
      <c r="I188" s="16"/>
      <c r="J188" s="97"/>
    </row>
    <row r="189" spans="1:10" s="133" customFormat="1" x14ac:dyDescent="0.25">
      <c r="A189" s="130"/>
      <c r="B189" s="131" t="s">
        <v>171</v>
      </c>
      <c r="C189" s="132">
        <v>7744</v>
      </c>
      <c r="D189" s="132">
        <v>7900</v>
      </c>
      <c r="E189" s="132">
        <v>7900</v>
      </c>
      <c r="F189" s="132"/>
      <c r="G189" s="132"/>
      <c r="H189" s="15">
        <f t="shared" si="113"/>
        <v>0</v>
      </c>
      <c r="I189" s="16">
        <f t="shared" si="108"/>
        <v>0</v>
      </c>
      <c r="J189" s="97"/>
    </row>
    <row r="190" spans="1:10" ht="15.75" thickBot="1" x14ac:dyDescent="0.3">
      <c r="A190" s="80"/>
      <c r="B190" s="76"/>
      <c r="C190" s="81"/>
      <c r="D190" s="81"/>
      <c r="E190" s="81"/>
      <c r="F190" s="81"/>
      <c r="G190" s="81"/>
      <c r="H190" s="81"/>
      <c r="I190" s="53"/>
      <c r="J190" s="148"/>
    </row>
    <row r="191" spans="1:10" ht="15.75" thickBot="1" x14ac:dyDescent="0.3">
      <c r="A191" s="215" t="s">
        <v>157</v>
      </c>
      <c r="B191" s="216"/>
      <c r="C191" s="61">
        <f>+C168+C172</f>
        <v>547555</v>
      </c>
      <c r="D191" s="61">
        <f t="shared" ref="D191:H191" si="116">+D168+D172</f>
        <v>916774</v>
      </c>
      <c r="E191" s="61">
        <f t="shared" si="116"/>
        <v>573561</v>
      </c>
      <c r="F191" s="61">
        <f t="shared" si="116"/>
        <v>216228</v>
      </c>
      <c r="G191" s="61">
        <f t="shared" si="116"/>
        <v>645673</v>
      </c>
      <c r="H191" s="61">
        <f t="shared" si="116"/>
        <v>861901</v>
      </c>
      <c r="I191" s="62">
        <f t="shared" si="108"/>
        <v>1.5027189784521611</v>
      </c>
      <c r="J191" s="63">
        <f>+H191/F191</f>
        <v>3.9860748839188265</v>
      </c>
    </row>
    <row r="192" spans="1:10" ht="15.75" thickBot="1" x14ac:dyDescent="0.3"/>
    <row r="193" spans="1:10" ht="15.75" thickBot="1" x14ac:dyDescent="0.3">
      <c r="A193" s="213" t="s">
        <v>158</v>
      </c>
      <c r="B193" s="214"/>
      <c r="C193" s="65">
        <f t="shared" ref="C193:H193" si="117">+C144+C191+C161</f>
        <v>1744489</v>
      </c>
      <c r="D193" s="65">
        <f t="shared" si="117"/>
        <v>2278769</v>
      </c>
      <c r="E193" s="65">
        <f t="shared" si="117"/>
        <v>1663219</v>
      </c>
      <c r="F193" s="65">
        <f t="shared" si="117"/>
        <v>1438477</v>
      </c>
      <c r="G193" s="65">
        <f t="shared" si="117"/>
        <v>987879</v>
      </c>
      <c r="H193" s="65">
        <f t="shared" si="117"/>
        <v>2426356</v>
      </c>
      <c r="I193" s="66">
        <f t="shared" si="108"/>
        <v>1.4588313385068352</v>
      </c>
      <c r="J193" s="67">
        <f>+H193/F193</f>
        <v>1.6867534204578871</v>
      </c>
    </row>
  </sheetData>
  <mergeCells count="181">
    <mergeCell ref="J133:J135"/>
    <mergeCell ref="A149:B149"/>
    <mergeCell ref="I147:I149"/>
    <mergeCell ref="J147:J149"/>
    <mergeCell ref="A167:B167"/>
    <mergeCell ref="I165:I167"/>
    <mergeCell ref="J165:J167"/>
    <mergeCell ref="A148:B148"/>
    <mergeCell ref="A161:B161"/>
    <mergeCell ref="A147:B147"/>
    <mergeCell ref="C147:C148"/>
    <mergeCell ref="D147:D148"/>
    <mergeCell ref="E147:E148"/>
    <mergeCell ref="F147:F148"/>
    <mergeCell ref="G147:G148"/>
    <mergeCell ref="H147:H148"/>
    <mergeCell ref="H165:H166"/>
    <mergeCell ref="A157:B157"/>
    <mergeCell ref="A146:B146"/>
    <mergeCell ref="C146:E146"/>
    <mergeCell ref="A135:B135"/>
    <mergeCell ref="I133:I135"/>
    <mergeCell ref="A134:B134"/>
    <mergeCell ref="A136:B136"/>
    <mergeCell ref="A193:B193"/>
    <mergeCell ref="A164:B164"/>
    <mergeCell ref="C164:E164"/>
    <mergeCell ref="A165:B165"/>
    <mergeCell ref="C165:C166"/>
    <mergeCell ref="D165:D166"/>
    <mergeCell ref="E165:E166"/>
    <mergeCell ref="F165:F166"/>
    <mergeCell ref="G165:G166"/>
    <mergeCell ref="A166:B166"/>
    <mergeCell ref="A191:B191"/>
    <mergeCell ref="A172:B172"/>
    <mergeCell ref="A168:B168"/>
    <mergeCell ref="A129:B129"/>
    <mergeCell ref="A130:B130"/>
    <mergeCell ref="A116:B116"/>
    <mergeCell ref="A117:B117"/>
    <mergeCell ref="A118:B118"/>
    <mergeCell ref="A122:B122"/>
    <mergeCell ref="A123:B123"/>
    <mergeCell ref="A124:B124"/>
    <mergeCell ref="A125:B125"/>
    <mergeCell ref="A126:B126"/>
    <mergeCell ref="A110:B110"/>
    <mergeCell ref="I108:I110"/>
    <mergeCell ref="J108:J110"/>
    <mergeCell ref="A119:B119"/>
    <mergeCell ref="I117:I119"/>
    <mergeCell ref="J117:J119"/>
    <mergeCell ref="A150:B150"/>
    <mergeCell ref="A144:B144"/>
    <mergeCell ref="A132:B132"/>
    <mergeCell ref="C132:E132"/>
    <mergeCell ref="A133:B133"/>
    <mergeCell ref="C133:C134"/>
    <mergeCell ref="D133:D134"/>
    <mergeCell ref="E133:E134"/>
    <mergeCell ref="A109:B109"/>
    <mergeCell ref="A111:B111"/>
    <mergeCell ref="A120:B120"/>
    <mergeCell ref="A121:B121"/>
    <mergeCell ref="C116:E116"/>
    <mergeCell ref="C117:C118"/>
    <mergeCell ref="D117:D118"/>
    <mergeCell ref="E117:E118"/>
    <mergeCell ref="A127:B127"/>
    <mergeCell ref="A128:B128"/>
    <mergeCell ref="A102:B102"/>
    <mergeCell ref="A107:B107"/>
    <mergeCell ref="C107:E107"/>
    <mergeCell ref="A108:B108"/>
    <mergeCell ref="C108:C109"/>
    <mergeCell ref="D108:D109"/>
    <mergeCell ref="E108:E109"/>
    <mergeCell ref="F108:F109"/>
    <mergeCell ref="G108:G109"/>
    <mergeCell ref="A85:B85"/>
    <mergeCell ref="A86:B86"/>
    <mergeCell ref="A93:B93"/>
    <mergeCell ref="A98:B98"/>
    <mergeCell ref="A99:B99"/>
    <mergeCell ref="G82:G83"/>
    <mergeCell ref="H82:H83"/>
    <mergeCell ref="A83:B83"/>
    <mergeCell ref="A82:B82"/>
    <mergeCell ref="C82:C83"/>
    <mergeCell ref="D82:D83"/>
    <mergeCell ref="E82:E83"/>
    <mergeCell ref="F82:F83"/>
    <mergeCell ref="A84:B84"/>
    <mergeCell ref="I82:I84"/>
    <mergeCell ref="J82:J84"/>
    <mergeCell ref="A71:B71"/>
    <mergeCell ref="A76:B76"/>
    <mergeCell ref="A81:B81"/>
    <mergeCell ref="C81:E81"/>
    <mergeCell ref="A6:B6"/>
    <mergeCell ref="A12:B12"/>
    <mergeCell ref="A15:B15"/>
    <mergeCell ref="A44:B44"/>
    <mergeCell ref="A64:B64"/>
    <mergeCell ref="A63:B63"/>
    <mergeCell ref="A62:B62"/>
    <mergeCell ref="C62:C63"/>
    <mergeCell ref="D62:D63"/>
    <mergeCell ref="E62:E63"/>
    <mergeCell ref="F62:F63"/>
    <mergeCell ref="A65:B65"/>
    <mergeCell ref="A70:B70"/>
    <mergeCell ref="G62:G63"/>
    <mergeCell ref="H62:H63"/>
    <mergeCell ref="I62:I64"/>
    <mergeCell ref="J62:J64"/>
    <mergeCell ref="F61:H61"/>
    <mergeCell ref="A5:B5"/>
    <mergeCell ref="A21:B21"/>
    <mergeCell ref="C21:E21"/>
    <mergeCell ref="A22:B22"/>
    <mergeCell ref="C22:C23"/>
    <mergeCell ref="D22:D23"/>
    <mergeCell ref="E22:E23"/>
    <mergeCell ref="A42:B42"/>
    <mergeCell ref="C42:C43"/>
    <mergeCell ref="D42:D43"/>
    <mergeCell ref="E42:E43"/>
    <mergeCell ref="A24:B24"/>
    <mergeCell ref="E2:E3"/>
    <mergeCell ref="A1:B1"/>
    <mergeCell ref="A2:B2"/>
    <mergeCell ref="A3:B3"/>
    <mergeCell ref="F2:F3"/>
    <mergeCell ref="G2:G3"/>
    <mergeCell ref="H2:H3"/>
    <mergeCell ref="C1:E1"/>
    <mergeCell ref="C2:C3"/>
    <mergeCell ref="D2:D3"/>
    <mergeCell ref="F1:H1"/>
    <mergeCell ref="I2:I4"/>
    <mergeCell ref="J2:J4"/>
    <mergeCell ref="A4:B4"/>
    <mergeCell ref="A43:B43"/>
    <mergeCell ref="A45:B45"/>
    <mergeCell ref="A56:B56"/>
    <mergeCell ref="A61:B61"/>
    <mergeCell ref="C61:E61"/>
    <mergeCell ref="A23:B23"/>
    <mergeCell ref="A25:B25"/>
    <mergeCell ref="A26:B26"/>
    <mergeCell ref="A33:B33"/>
    <mergeCell ref="A37:B37"/>
    <mergeCell ref="A41:B41"/>
    <mergeCell ref="C41:E41"/>
    <mergeCell ref="F22:F23"/>
    <mergeCell ref="G22:G23"/>
    <mergeCell ref="H22:H23"/>
    <mergeCell ref="I22:I24"/>
    <mergeCell ref="J22:J24"/>
    <mergeCell ref="I42:I44"/>
    <mergeCell ref="J42:J44"/>
    <mergeCell ref="F21:H21"/>
    <mergeCell ref="F41:H41"/>
    <mergeCell ref="F81:H81"/>
    <mergeCell ref="F107:H107"/>
    <mergeCell ref="F116:H116"/>
    <mergeCell ref="F132:H132"/>
    <mergeCell ref="F146:H146"/>
    <mergeCell ref="F164:H164"/>
    <mergeCell ref="F42:F43"/>
    <mergeCell ref="G42:G43"/>
    <mergeCell ref="H42:H43"/>
    <mergeCell ref="H108:H109"/>
    <mergeCell ref="F133:F134"/>
    <mergeCell ref="G133:G134"/>
    <mergeCell ref="H133:H134"/>
    <mergeCell ref="F117:F118"/>
    <mergeCell ref="G117:G118"/>
    <mergeCell ref="H117:H1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headerFooter>
    <oddHeader>&amp;L&amp;"-,Félkövér"&amp;12MARTONVÁSÁR VÁROS ÖNKORMÁNYZATA&amp;C&amp;"-,Félkövér"&amp;14... számú határozat 1. számú melléklete&amp;R&amp;"-,Félkövér"&amp;12Kiadások</oddHeader>
    <oddFooter>&amp;R&amp;P</oddFooter>
  </headerFooter>
  <rowBreaks count="2" manualBreakCount="2">
    <brk id="80" max="16383" man="1"/>
    <brk id="1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1"/>
  <sheetViews>
    <sheetView zoomScaleNormal="100" workbookViewId="0">
      <pane xSplit="2" ySplit="1" topLeftCell="F96" activePane="bottomRight" state="frozen"/>
      <selection pane="topRight" activeCell="C1" sqref="C1"/>
      <selection pane="bottomLeft" activeCell="A2" sqref="A2"/>
      <selection pane="bottomRight" activeCell="G121" sqref="G121"/>
    </sheetView>
  </sheetViews>
  <sheetFormatPr defaultColWidth="9.140625" defaultRowHeight="15" x14ac:dyDescent="0.25"/>
  <cols>
    <col min="1" max="1" width="3.85546875" style="18" customWidth="1"/>
    <col min="2" max="2" width="62.7109375" style="18" customWidth="1"/>
    <col min="3" max="3" width="10.28515625" style="18" customWidth="1"/>
    <col min="4" max="4" width="11.42578125" style="18" customWidth="1"/>
    <col min="5" max="7" width="10.28515625" style="18" customWidth="1"/>
    <col min="8" max="8" width="11" style="18" customWidth="1"/>
    <col min="9" max="10" width="9.85546875" style="18" customWidth="1"/>
    <col min="11" max="16384" width="9.140625" style="18"/>
  </cols>
  <sheetData>
    <row r="1" spans="1:10" s="3" customFormat="1" ht="14.25" x14ac:dyDescent="0.25">
      <c r="A1" s="175" t="s">
        <v>193</v>
      </c>
      <c r="B1" s="176"/>
      <c r="C1" s="176" t="s">
        <v>187</v>
      </c>
      <c r="D1" s="176"/>
      <c r="E1" s="176"/>
      <c r="F1" s="156" t="s">
        <v>222</v>
      </c>
      <c r="G1" s="157"/>
      <c r="H1" s="158"/>
      <c r="I1" s="1" t="s">
        <v>4</v>
      </c>
      <c r="J1" s="2" t="s">
        <v>4</v>
      </c>
    </row>
    <row r="2" spans="1:10" s="4" customFormat="1" ht="15" customHeight="1" x14ac:dyDescent="0.25">
      <c r="A2" s="169" t="s">
        <v>0</v>
      </c>
      <c r="B2" s="170"/>
      <c r="C2" s="159" t="s">
        <v>2</v>
      </c>
      <c r="D2" s="160" t="s">
        <v>206</v>
      </c>
      <c r="E2" s="160" t="s">
        <v>3</v>
      </c>
      <c r="F2" s="159" t="s">
        <v>2</v>
      </c>
      <c r="G2" s="159" t="s">
        <v>205</v>
      </c>
      <c r="H2" s="160" t="s">
        <v>206</v>
      </c>
      <c r="I2" s="161" t="s">
        <v>215</v>
      </c>
      <c r="J2" s="164" t="s">
        <v>216</v>
      </c>
    </row>
    <row r="3" spans="1:10" s="4" customFormat="1" x14ac:dyDescent="0.25">
      <c r="A3" s="169" t="s">
        <v>80</v>
      </c>
      <c r="B3" s="170"/>
      <c r="C3" s="159"/>
      <c r="D3" s="160"/>
      <c r="E3" s="160"/>
      <c r="F3" s="159"/>
      <c r="G3" s="159"/>
      <c r="H3" s="160"/>
      <c r="I3" s="162"/>
      <c r="J3" s="165"/>
    </row>
    <row r="4" spans="1:10" s="4" customFormat="1" ht="24" customHeight="1" x14ac:dyDescent="0.25">
      <c r="A4" s="167"/>
      <c r="B4" s="168"/>
      <c r="C4" s="69">
        <v>1</v>
      </c>
      <c r="D4" s="70">
        <v>2</v>
      </c>
      <c r="E4" s="70">
        <v>3</v>
      </c>
      <c r="F4" s="70">
        <v>4</v>
      </c>
      <c r="G4" s="69">
        <v>5</v>
      </c>
      <c r="H4" s="70">
        <v>6</v>
      </c>
      <c r="I4" s="163"/>
      <c r="J4" s="166"/>
    </row>
    <row r="5" spans="1:10" s="8" customFormat="1" ht="14.25" x14ac:dyDescent="0.2">
      <c r="A5" s="223" t="s">
        <v>81</v>
      </c>
      <c r="B5" s="224"/>
      <c r="C5" s="5">
        <f t="shared" ref="C5:F5" si="0">+C6+C16+C19+C27+C28</f>
        <v>543618</v>
      </c>
      <c r="D5" s="5">
        <f t="shared" si="0"/>
        <v>637480</v>
      </c>
      <c r="E5" s="5">
        <f t="shared" si="0"/>
        <v>637480</v>
      </c>
      <c r="F5" s="5">
        <f t="shared" si="0"/>
        <v>615421</v>
      </c>
      <c r="G5" s="5">
        <f t="shared" ref="G5:H5" si="1">+G6+G16+G19+G27+G28</f>
        <v>0</v>
      </c>
      <c r="H5" s="5">
        <f t="shared" si="1"/>
        <v>615421</v>
      </c>
      <c r="I5" s="6">
        <f t="shared" ref="I5:I27" si="2">+H5/E5</f>
        <v>0.9653965614607517</v>
      </c>
      <c r="J5" s="7">
        <f t="shared" ref="J5:J27" si="3">+H5/F5</f>
        <v>1</v>
      </c>
    </row>
    <row r="6" spans="1:10" s="8" customFormat="1" ht="30" customHeight="1" x14ac:dyDescent="0.2">
      <c r="A6" s="225" t="s">
        <v>82</v>
      </c>
      <c r="B6" s="226"/>
      <c r="C6" s="9">
        <f t="shared" ref="C6:E6" si="4">SUM(C7:C10)+C15</f>
        <v>163807</v>
      </c>
      <c r="D6" s="9">
        <f t="shared" si="4"/>
        <v>164359</v>
      </c>
      <c r="E6" s="9">
        <f t="shared" si="4"/>
        <v>164359</v>
      </c>
      <c r="F6" s="9">
        <f t="shared" ref="F6" si="5">SUM(F7:F10)+F15</f>
        <v>167795</v>
      </c>
      <c r="G6" s="9">
        <f t="shared" ref="G6:H6" si="6">SUM(G7:G10)+G15</f>
        <v>0</v>
      </c>
      <c r="H6" s="9">
        <f t="shared" si="6"/>
        <v>167795</v>
      </c>
      <c r="I6" s="10">
        <f t="shared" si="2"/>
        <v>1.0209054569570271</v>
      </c>
      <c r="J6" s="11">
        <f t="shared" si="3"/>
        <v>1</v>
      </c>
    </row>
    <row r="7" spans="1:10" x14ac:dyDescent="0.25">
      <c r="A7" s="12" t="s">
        <v>83</v>
      </c>
      <c r="B7" s="13" t="s">
        <v>84</v>
      </c>
      <c r="C7" s="14">
        <v>120724</v>
      </c>
      <c r="D7" s="14">
        <v>121099</v>
      </c>
      <c r="E7" s="14">
        <v>121099</v>
      </c>
      <c r="F7" s="153">
        <f>121505+918</f>
        <v>122423</v>
      </c>
      <c r="G7" s="14"/>
      <c r="H7" s="15">
        <f t="shared" ref="H7:H9" si="7">+F7+G7</f>
        <v>122423</v>
      </c>
      <c r="I7" s="16">
        <f t="shared" si="2"/>
        <v>1.0109332034120844</v>
      </c>
      <c r="J7" s="17">
        <f t="shared" si="3"/>
        <v>1</v>
      </c>
    </row>
    <row r="8" spans="1:10" x14ac:dyDescent="0.25">
      <c r="A8" s="12" t="s">
        <v>83</v>
      </c>
      <c r="B8" s="13" t="s">
        <v>85</v>
      </c>
      <c r="C8" s="14"/>
      <c r="D8" s="14">
        <v>0</v>
      </c>
      <c r="E8" s="14"/>
      <c r="F8" s="153"/>
      <c r="G8" s="14"/>
      <c r="H8" s="15">
        <f t="shared" si="7"/>
        <v>0</v>
      </c>
      <c r="I8" s="16"/>
      <c r="J8" s="17"/>
    </row>
    <row r="9" spans="1:10" x14ac:dyDescent="0.25">
      <c r="A9" s="12" t="s">
        <v>83</v>
      </c>
      <c r="B9" s="13" t="s">
        <v>194</v>
      </c>
      <c r="C9" s="19">
        <f>15530+969+1</f>
        <v>16500</v>
      </c>
      <c r="D9" s="14">
        <v>16500</v>
      </c>
      <c r="E9" s="14">
        <v>16500</v>
      </c>
      <c r="F9" s="154">
        <f>15652+1025+2015</f>
        <v>18692</v>
      </c>
      <c r="G9" s="14"/>
      <c r="H9" s="15">
        <f t="shared" si="7"/>
        <v>18692</v>
      </c>
      <c r="I9" s="16">
        <f t="shared" si="2"/>
        <v>1.1328484848484848</v>
      </c>
      <c r="J9" s="17">
        <f t="shared" si="3"/>
        <v>1</v>
      </c>
    </row>
    <row r="10" spans="1:10" x14ac:dyDescent="0.25">
      <c r="A10" s="227" t="s">
        <v>86</v>
      </c>
      <c r="B10" s="228"/>
      <c r="C10" s="19">
        <f t="shared" ref="C10:F10" si="8">SUM(C11:C14)</f>
        <v>26583</v>
      </c>
      <c r="D10" s="14">
        <f t="shared" si="8"/>
        <v>26760</v>
      </c>
      <c r="E10" s="14">
        <f t="shared" si="8"/>
        <v>26760</v>
      </c>
      <c r="F10" s="154">
        <f t="shared" si="8"/>
        <v>26680</v>
      </c>
      <c r="G10" s="14">
        <f t="shared" ref="G10:H10" si="9">SUM(G11:G14)</f>
        <v>0</v>
      </c>
      <c r="H10" s="14">
        <f t="shared" si="9"/>
        <v>26680</v>
      </c>
      <c r="I10" s="16">
        <f t="shared" si="2"/>
        <v>0.99701046337817634</v>
      </c>
      <c r="J10" s="17">
        <f t="shared" si="3"/>
        <v>1</v>
      </c>
    </row>
    <row r="11" spans="1:10" x14ac:dyDescent="0.25">
      <c r="A11" s="12" t="s">
        <v>83</v>
      </c>
      <c r="B11" s="13" t="s">
        <v>87</v>
      </c>
      <c r="C11" s="19">
        <v>9092</v>
      </c>
      <c r="D11" s="14">
        <v>9092</v>
      </c>
      <c r="E11" s="14">
        <v>9092</v>
      </c>
      <c r="F11" s="154">
        <v>9140</v>
      </c>
      <c r="G11" s="14"/>
      <c r="H11" s="15">
        <f t="shared" ref="H11:H15" si="10">+F11+G11</f>
        <v>9140</v>
      </c>
      <c r="I11" s="16">
        <f t="shared" si="2"/>
        <v>1.0052793664760229</v>
      </c>
      <c r="J11" s="17">
        <f t="shared" si="3"/>
        <v>1</v>
      </c>
    </row>
    <row r="12" spans="1:10" x14ac:dyDescent="0.25">
      <c r="A12" s="12" t="s">
        <v>83</v>
      </c>
      <c r="B12" s="13" t="s">
        <v>88</v>
      </c>
      <c r="C12" s="19">
        <v>10912</v>
      </c>
      <c r="D12" s="14">
        <v>10912</v>
      </c>
      <c r="E12" s="14">
        <v>10912</v>
      </c>
      <c r="F12" s="154">
        <v>10912</v>
      </c>
      <c r="G12" s="14"/>
      <c r="H12" s="15">
        <f t="shared" si="10"/>
        <v>10912</v>
      </c>
      <c r="I12" s="16">
        <f t="shared" si="2"/>
        <v>1</v>
      </c>
      <c r="J12" s="17">
        <f t="shared" si="3"/>
        <v>1</v>
      </c>
    </row>
    <row r="13" spans="1:10" x14ac:dyDescent="0.25">
      <c r="A13" s="12" t="s">
        <v>83</v>
      </c>
      <c r="B13" s="13" t="s">
        <v>89</v>
      </c>
      <c r="C13" s="19">
        <v>1540</v>
      </c>
      <c r="D13" s="14">
        <v>1540</v>
      </c>
      <c r="E13" s="14">
        <v>1540</v>
      </c>
      <c r="F13" s="154">
        <v>1540</v>
      </c>
      <c r="G13" s="14"/>
      <c r="H13" s="15">
        <f t="shared" si="10"/>
        <v>1540</v>
      </c>
      <c r="I13" s="16">
        <f t="shared" si="2"/>
        <v>1</v>
      </c>
      <c r="J13" s="17">
        <f t="shared" si="3"/>
        <v>1</v>
      </c>
    </row>
    <row r="14" spans="1:10" x14ac:dyDescent="0.25">
      <c r="A14" s="12" t="s">
        <v>90</v>
      </c>
      <c r="B14" s="13" t="s">
        <v>91</v>
      </c>
      <c r="C14" s="19">
        <v>5039</v>
      </c>
      <c r="D14" s="14">
        <v>5216</v>
      </c>
      <c r="E14" s="14">
        <v>5216</v>
      </c>
      <c r="F14" s="154">
        <v>5088</v>
      </c>
      <c r="G14" s="14"/>
      <c r="H14" s="15">
        <f t="shared" si="10"/>
        <v>5088</v>
      </c>
      <c r="I14" s="16">
        <f t="shared" si="2"/>
        <v>0.97546012269938653</v>
      </c>
      <c r="J14" s="17">
        <f t="shared" si="3"/>
        <v>1</v>
      </c>
    </row>
    <row r="15" spans="1:10" x14ac:dyDescent="0.25">
      <c r="A15" s="227" t="s">
        <v>177</v>
      </c>
      <c r="B15" s="228"/>
      <c r="C15" s="14"/>
      <c r="D15" s="14">
        <v>0</v>
      </c>
      <c r="E15" s="14"/>
      <c r="F15" s="14"/>
      <c r="G15" s="14"/>
      <c r="H15" s="15">
        <f t="shared" si="10"/>
        <v>0</v>
      </c>
      <c r="I15" s="16"/>
      <c r="J15" s="17"/>
    </row>
    <row r="16" spans="1:10" s="8" customFormat="1" ht="14.25" x14ac:dyDescent="0.2">
      <c r="A16" s="229" t="s">
        <v>92</v>
      </c>
      <c r="B16" s="230"/>
      <c r="C16" s="9">
        <f t="shared" ref="C16:F16" si="11">SUM(C17:C18)</f>
        <v>168723</v>
      </c>
      <c r="D16" s="9">
        <f t="shared" si="11"/>
        <v>178032</v>
      </c>
      <c r="E16" s="9">
        <f t="shared" si="11"/>
        <v>178032</v>
      </c>
      <c r="F16" s="9">
        <f t="shared" si="11"/>
        <v>205225</v>
      </c>
      <c r="G16" s="9">
        <f t="shared" ref="G16:H16" si="12">SUM(G17:G18)</f>
        <v>0</v>
      </c>
      <c r="H16" s="9">
        <f t="shared" si="12"/>
        <v>205225</v>
      </c>
      <c r="I16" s="10">
        <f t="shared" si="2"/>
        <v>1.1527422036487822</v>
      </c>
      <c r="J16" s="11">
        <f t="shared" si="3"/>
        <v>1</v>
      </c>
    </row>
    <row r="17" spans="1:10" x14ac:dyDescent="0.25">
      <c r="A17" s="12" t="s">
        <v>83</v>
      </c>
      <c r="B17" s="13" t="s">
        <v>93</v>
      </c>
      <c r="C17" s="14">
        <v>145639</v>
      </c>
      <c r="D17" s="14">
        <v>154753</v>
      </c>
      <c r="E17" s="14">
        <v>154753</v>
      </c>
      <c r="F17" s="153">
        <f>101119+3654+46746+5672+21491</f>
        <v>178682</v>
      </c>
      <c r="G17" s="14"/>
      <c r="H17" s="15">
        <f t="shared" ref="H17:H18" si="13">+F17+G17</f>
        <v>178682</v>
      </c>
      <c r="I17" s="16">
        <f t="shared" si="2"/>
        <v>1.1546270508487719</v>
      </c>
      <c r="J17" s="17">
        <f t="shared" si="3"/>
        <v>1</v>
      </c>
    </row>
    <row r="18" spans="1:10" x14ac:dyDescent="0.25">
      <c r="A18" s="12" t="s">
        <v>83</v>
      </c>
      <c r="B18" s="13" t="s">
        <v>94</v>
      </c>
      <c r="C18" s="14">
        <v>23084</v>
      </c>
      <c r="D18" s="14">
        <v>23279</v>
      </c>
      <c r="E18" s="14">
        <v>23279</v>
      </c>
      <c r="F18" s="153">
        <f>26070+473</f>
        <v>26543</v>
      </c>
      <c r="G18" s="14"/>
      <c r="H18" s="15">
        <f t="shared" si="13"/>
        <v>26543</v>
      </c>
      <c r="I18" s="16">
        <f t="shared" si="2"/>
        <v>1.1402122084281971</v>
      </c>
      <c r="J18" s="17">
        <f t="shared" si="3"/>
        <v>1</v>
      </c>
    </row>
    <row r="19" spans="1:10" x14ac:dyDescent="0.25">
      <c r="A19" s="229" t="s">
        <v>95</v>
      </c>
      <c r="B19" s="230"/>
      <c r="C19" s="9">
        <f t="shared" ref="C19:E19" si="14">SUM(C20:C23)</f>
        <v>198606</v>
      </c>
      <c r="D19" s="9">
        <f t="shared" si="14"/>
        <v>220836</v>
      </c>
      <c r="E19" s="9">
        <f t="shared" si="14"/>
        <v>220836</v>
      </c>
      <c r="F19" s="155">
        <f t="shared" ref="F19" si="15">SUM(F20:F23)</f>
        <v>225524</v>
      </c>
      <c r="G19" s="9">
        <f t="shared" ref="G19:H19" si="16">SUM(G20:G23)</f>
        <v>0</v>
      </c>
      <c r="H19" s="9">
        <f t="shared" si="16"/>
        <v>225524</v>
      </c>
      <c r="I19" s="10">
        <f t="shared" si="2"/>
        <v>1.0212284229020632</v>
      </c>
      <c r="J19" s="11">
        <f t="shared" si="3"/>
        <v>1</v>
      </c>
    </row>
    <row r="20" spans="1:10" x14ac:dyDescent="0.25">
      <c r="A20" s="12" t="s">
        <v>83</v>
      </c>
      <c r="B20" s="13" t="s">
        <v>96</v>
      </c>
      <c r="C20" s="19">
        <v>105913</v>
      </c>
      <c r="D20" s="14">
        <v>140386</v>
      </c>
      <c r="E20" s="14">
        <v>140386</v>
      </c>
      <c r="F20" s="154">
        <f>111480+26006+531</f>
        <v>138017</v>
      </c>
      <c r="G20" s="14"/>
      <c r="H20" s="15">
        <f t="shared" ref="H20:H22" si="17">+F20+G20</f>
        <v>138017</v>
      </c>
      <c r="I20" s="16">
        <f t="shared" si="2"/>
        <v>0.98312509794423941</v>
      </c>
      <c r="J20" s="17">
        <f t="shared" si="3"/>
        <v>1</v>
      </c>
    </row>
    <row r="21" spans="1:10" x14ac:dyDescent="0.25">
      <c r="A21" s="12" t="s">
        <v>83</v>
      </c>
      <c r="B21" s="13" t="s">
        <v>44</v>
      </c>
      <c r="C21" s="19">
        <v>154</v>
      </c>
      <c r="D21" s="14">
        <v>129</v>
      </c>
      <c r="E21" s="14">
        <v>129</v>
      </c>
      <c r="F21" s="154">
        <f>154-99</f>
        <v>55</v>
      </c>
      <c r="G21" s="14"/>
      <c r="H21" s="15">
        <f t="shared" si="17"/>
        <v>55</v>
      </c>
      <c r="I21" s="16">
        <f t="shared" si="2"/>
        <v>0.4263565891472868</v>
      </c>
      <c r="J21" s="17">
        <f t="shared" si="3"/>
        <v>1</v>
      </c>
    </row>
    <row r="22" spans="1:10" x14ac:dyDescent="0.25">
      <c r="A22" s="12" t="s">
        <v>83</v>
      </c>
      <c r="B22" s="13" t="s">
        <v>97</v>
      </c>
      <c r="C22" s="19">
        <v>13139</v>
      </c>
      <c r="D22" s="14">
        <v>13139</v>
      </c>
      <c r="E22" s="14">
        <v>13139</v>
      </c>
      <c r="F22" s="154">
        <v>12084</v>
      </c>
      <c r="G22" s="14"/>
      <c r="H22" s="15">
        <f t="shared" si="17"/>
        <v>12084</v>
      </c>
      <c r="I22" s="16">
        <f t="shared" si="2"/>
        <v>0.91970469594337467</v>
      </c>
      <c r="J22" s="17">
        <f t="shared" si="3"/>
        <v>1</v>
      </c>
    </row>
    <row r="23" spans="1:10" x14ac:dyDescent="0.25">
      <c r="A23" s="227" t="s">
        <v>98</v>
      </c>
      <c r="B23" s="228"/>
      <c r="C23" s="19">
        <f t="shared" ref="C23:E23" si="18">SUM(C24:C26)</f>
        <v>79400</v>
      </c>
      <c r="D23" s="14">
        <f t="shared" si="18"/>
        <v>67182</v>
      </c>
      <c r="E23" s="14">
        <f t="shared" si="18"/>
        <v>67182</v>
      </c>
      <c r="F23" s="154">
        <f t="shared" ref="F23" si="19">SUM(F24:F26)</f>
        <v>75368</v>
      </c>
      <c r="G23" s="14">
        <f t="shared" ref="G23:H23" si="20">SUM(G24:G26)</f>
        <v>0</v>
      </c>
      <c r="H23" s="14">
        <f t="shared" si="20"/>
        <v>75368</v>
      </c>
      <c r="I23" s="16">
        <f t="shared" si="2"/>
        <v>1.1218481140781758</v>
      </c>
      <c r="J23" s="17">
        <f t="shared" si="3"/>
        <v>1</v>
      </c>
    </row>
    <row r="24" spans="1:10" x14ac:dyDescent="0.25">
      <c r="A24" s="12" t="s">
        <v>83</v>
      </c>
      <c r="B24" s="13" t="s">
        <v>99</v>
      </c>
      <c r="C24" s="19">
        <v>28084</v>
      </c>
      <c r="D24" s="14">
        <v>22900</v>
      </c>
      <c r="E24" s="14">
        <v>22900</v>
      </c>
      <c r="F24" s="154">
        <f>10452+14404-182-1179</f>
        <v>23495</v>
      </c>
      <c r="G24" s="14"/>
      <c r="H24" s="15">
        <f t="shared" ref="H24:H26" si="21">+F24+G24</f>
        <v>23495</v>
      </c>
      <c r="I24" s="16">
        <f t="shared" si="2"/>
        <v>1.0259825327510916</v>
      </c>
      <c r="J24" s="17">
        <f t="shared" si="3"/>
        <v>1</v>
      </c>
    </row>
    <row r="25" spans="1:10" x14ac:dyDescent="0.25">
      <c r="A25" s="12" t="s">
        <v>83</v>
      </c>
      <c r="B25" s="13" t="s">
        <v>100</v>
      </c>
      <c r="C25" s="19">
        <v>34731</v>
      </c>
      <c r="D25" s="14">
        <v>30610</v>
      </c>
      <c r="E25" s="14">
        <v>30610</v>
      </c>
      <c r="F25" s="154">
        <f>19048+14261+3654-1312</f>
        <v>35651</v>
      </c>
      <c r="G25" s="14"/>
      <c r="H25" s="15">
        <f t="shared" si="21"/>
        <v>35651</v>
      </c>
      <c r="I25" s="16">
        <f t="shared" si="2"/>
        <v>1.1646847435478602</v>
      </c>
      <c r="J25" s="17">
        <f t="shared" si="3"/>
        <v>1</v>
      </c>
    </row>
    <row r="26" spans="1:10" x14ac:dyDescent="0.25">
      <c r="A26" s="12" t="s">
        <v>83</v>
      </c>
      <c r="B26" s="13" t="s">
        <v>195</v>
      </c>
      <c r="C26" s="19">
        <v>16585</v>
      </c>
      <c r="D26" s="14">
        <v>13672</v>
      </c>
      <c r="E26" s="14">
        <v>13672</v>
      </c>
      <c r="F26" s="154">
        <f>3248+4510+3980+5341-46-811</f>
        <v>16222</v>
      </c>
      <c r="G26" s="14"/>
      <c r="H26" s="15">
        <f t="shared" si="21"/>
        <v>16222</v>
      </c>
      <c r="I26" s="16">
        <f t="shared" si="2"/>
        <v>1.1865125804564072</v>
      </c>
      <c r="J26" s="17">
        <f t="shared" si="3"/>
        <v>1</v>
      </c>
    </row>
    <row r="27" spans="1:10" x14ac:dyDescent="0.25">
      <c r="A27" s="229" t="s">
        <v>101</v>
      </c>
      <c r="B27" s="230"/>
      <c r="C27" s="9">
        <v>12482</v>
      </c>
      <c r="D27" s="9">
        <v>12833</v>
      </c>
      <c r="E27" s="9">
        <v>12833</v>
      </c>
      <c r="F27" s="9">
        <v>12829</v>
      </c>
      <c r="G27" s="9"/>
      <c r="H27" s="9">
        <f>+F27+G27</f>
        <v>12829</v>
      </c>
      <c r="I27" s="10">
        <f t="shared" si="2"/>
        <v>0.9996883035923011</v>
      </c>
      <c r="J27" s="11">
        <f t="shared" si="3"/>
        <v>1</v>
      </c>
    </row>
    <row r="28" spans="1:10" ht="15.75" thickBot="1" x14ac:dyDescent="0.3">
      <c r="A28" s="231" t="s">
        <v>102</v>
      </c>
      <c r="B28" s="232"/>
      <c r="C28" s="20"/>
      <c r="D28" s="20">
        <v>61420</v>
      </c>
      <c r="E28" s="20">
        <v>61420</v>
      </c>
      <c r="F28" s="20">
        <v>4048</v>
      </c>
      <c r="G28" s="20"/>
      <c r="H28" s="20">
        <f>+F28+G28</f>
        <v>4048</v>
      </c>
      <c r="I28" s="21"/>
      <c r="J28" s="22"/>
    </row>
    <row r="29" spans="1:10" ht="30" customHeight="1" thickBot="1" x14ac:dyDescent="0.3"/>
    <row r="30" spans="1:10" s="3" customFormat="1" ht="14.25" x14ac:dyDescent="0.25">
      <c r="A30" s="175" t="s">
        <v>193</v>
      </c>
      <c r="B30" s="176"/>
      <c r="C30" s="176" t="s">
        <v>187</v>
      </c>
      <c r="D30" s="176"/>
      <c r="E30" s="176"/>
      <c r="F30" s="156" t="s">
        <v>222</v>
      </c>
      <c r="G30" s="157"/>
      <c r="H30" s="158"/>
      <c r="I30" s="1" t="s">
        <v>4</v>
      </c>
      <c r="J30" s="2" t="s">
        <v>4</v>
      </c>
    </row>
    <row r="31" spans="1:10" s="4" customFormat="1" ht="15" customHeight="1" x14ac:dyDescent="0.25">
      <c r="A31" s="169" t="s">
        <v>0</v>
      </c>
      <c r="B31" s="170"/>
      <c r="C31" s="159" t="s">
        <v>2</v>
      </c>
      <c r="D31" s="160" t="s">
        <v>206</v>
      </c>
      <c r="E31" s="160" t="s">
        <v>3</v>
      </c>
      <c r="F31" s="159" t="s">
        <v>2</v>
      </c>
      <c r="G31" s="159" t="s">
        <v>205</v>
      </c>
      <c r="H31" s="160" t="s">
        <v>206</v>
      </c>
      <c r="I31" s="161" t="s">
        <v>215</v>
      </c>
      <c r="J31" s="164" t="s">
        <v>216</v>
      </c>
    </row>
    <row r="32" spans="1:10" s="4" customFormat="1" x14ac:dyDescent="0.25">
      <c r="A32" s="169" t="s">
        <v>103</v>
      </c>
      <c r="B32" s="170"/>
      <c r="C32" s="159"/>
      <c r="D32" s="160"/>
      <c r="E32" s="160"/>
      <c r="F32" s="159"/>
      <c r="G32" s="159"/>
      <c r="H32" s="160"/>
      <c r="I32" s="162"/>
      <c r="J32" s="165"/>
    </row>
    <row r="33" spans="1:10" s="4" customFormat="1" ht="24" customHeight="1" x14ac:dyDescent="0.25">
      <c r="A33" s="167"/>
      <c r="B33" s="168"/>
      <c r="C33" s="69">
        <v>1</v>
      </c>
      <c r="D33" s="70">
        <v>2</v>
      </c>
      <c r="E33" s="70">
        <v>3</v>
      </c>
      <c r="F33" s="70">
        <v>4</v>
      </c>
      <c r="G33" s="69">
        <v>5</v>
      </c>
      <c r="H33" s="70">
        <v>6</v>
      </c>
      <c r="I33" s="163"/>
      <c r="J33" s="166"/>
    </row>
    <row r="34" spans="1:10" s="8" customFormat="1" ht="14.25" x14ac:dyDescent="0.2">
      <c r="A34" s="233" t="s">
        <v>104</v>
      </c>
      <c r="B34" s="234"/>
      <c r="C34" s="23">
        <f t="shared" ref="C34:E34" si="22">SUM(C35:C42)</f>
        <v>26858</v>
      </c>
      <c r="D34" s="23">
        <f t="shared" si="22"/>
        <v>46207</v>
      </c>
      <c r="E34" s="23">
        <f t="shared" si="22"/>
        <v>48176</v>
      </c>
      <c r="F34" s="23">
        <f t="shared" ref="F34" si="23">SUM(F35:F42)</f>
        <v>31390</v>
      </c>
      <c r="G34" s="23">
        <f t="shared" ref="G34:H34" si="24">SUM(G35:G42)</f>
        <v>0</v>
      </c>
      <c r="H34" s="23">
        <f t="shared" si="24"/>
        <v>31390</v>
      </c>
      <c r="I34" s="24">
        <f t="shared" ref="I34:I57" si="25">+H34/E34</f>
        <v>0.651569246097642</v>
      </c>
      <c r="J34" s="25">
        <f>+H34/F34</f>
        <v>1</v>
      </c>
    </row>
    <row r="35" spans="1:10" x14ac:dyDescent="0.25">
      <c r="A35" s="12" t="s">
        <v>83</v>
      </c>
      <c r="B35" s="13" t="s">
        <v>105</v>
      </c>
      <c r="C35" s="14">
        <v>1080</v>
      </c>
      <c r="D35" s="14">
        <v>1080</v>
      </c>
      <c r="E35" s="14">
        <v>1350</v>
      </c>
      <c r="F35" s="14">
        <v>1080</v>
      </c>
      <c r="G35" s="14"/>
      <c r="H35" s="15">
        <f t="shared" ref="H35:H41" si="26">+F35+G35</f>
        <v>1080</v>
      </c>
      <c r="I35" s="16">
        <f t="shared" si="25"/>
        <v>0.8</v>
      </c>
      <c r="J35" s="17">
        <f>+H35/F35</f>
        <v>1</v>
      </c>
    </row>
    <row r="36" spans="1:10" x14ac:dyDescent="0.25">
      <c r="A36" s="12" t="s">
        <v>83</v>
      </c>
      <c r="B36" s="13" t="s">
        <v>106</v>
      </c>
      <c r="C36" s="14">
        <v>280</v>
      </c>
      <c r="D36" s="14">
        <v>280</v>
      </c>
      <c r="E36" s="14">
        <v>203</v>
      </c>
      <c r="F36" s="14"/>
      <c r="G36" s="14"/>
      <c r="H36" s="15">
        <f t="shared" si="26"/>
        <v>0</v>
      </c>
      <c r="I36" s="16">
        <f t="shared" si="25"/>
        <v>0</v>
      </c>
      <c r="J36" s="17"/>
    </row>
    <row r="37" spans="1:10" x14ac:dyDescent="0.25">
      <c r="A37" s="12" t="s">
        <v>83</v>
      </c>
      <c r="B37" s="13" t="s">
        <v>107</v>
      </c>
      <c r="C37" s="14">
        <v>21456</v>
      </c>
      <c r="D37" s="14">
        <v>21456</v>
      </c>
      <c r="E37" s="14">
        <v>23232</v>
      </c>
      <c r="F37" s="14">
        <v>23268</v>
      </c>
      <c r="G37" s="14"/>
      <c r="H37" s="15">
        <f t="shared" si="26"/>
        <v>23268</v>
      </c>
      <c r="I37" s="16">
        <f t="shared" si="25"/>
        <v>1.0015495867768596</v>
      </c>
      <c r="J37" s="17">
        <f>+H37/F37</f>
        <v>1</v>
      </c>
    </row>
    <row r="38" spans="1:10" x14ac:dyDescent="0.25">
      <c r="A38" s="12" t="s">
        <v>83</v>
      </c>
      <c r="B38" s="13" t="s">
        <v>108</v>
      </c>
      <c r="C38" s="14"/>
      <c r="D38" s="14">
        <v>0</v>
      </c>
      <c r="E38" s="14"/>
      <c r="F38" s="14"/>
      <c r="G38" s="14"/>
      <c r="H38" s="15">
        <f t="shared" si="26"/>
        <v>0</v>
      </c>
      <c r="I38" s="16"/>
      <c r="J38" s="17"/>
    </row>
    <row r="39" spans="1:10" x14ac:dyDescent="0.25">
      <c r="A39" s="12" t="s">
        <v>83</v>
      </c>
      <c r="B39" s="13" t="s">
        <v>109</v>
      </c>
      <c r="C39" s="14"/>
      <c r="D39" s="14">
        <v>0</v>
      </c>
      <c r="E39" s="14"/>
      <c r="F39" s="14"/>
      <c r="G39" s="14"/>
      <c r="H39" s="15">
        <f t="shared" si="26"/>
        <v>0</v>
      </c>
      <c r="I39" s="16"/>
      <c r="J39" s="17"/>
    </row>
    <row r="40" spans="1:10" x14ac:dyDescent="0.25">
      <c r="A40" s="12" t="s">
        <v>83</v>
      </c>
      <c r="B40" s="13" t="s">
        <v>110</v>
      </c>
      <c r="C40" s="14">
        <v>4000</v>
      </c>
      <c r="D40" s="14">
        <v>23349</v>
      </c>
      <c r="E40" s="14">
        <v>23349</v>
      </c>
      <c r="F40" s="14">
        <v>7000</v>
      </c>
      <c r="G40" s="14"/>
      <c r="H40" s="15">
        <f t="shared" si="26"/>
        <v>7000</v>
      </c>
      <c r="I40" s="16">
        <f t="shared" si="25"/>
        <v>0.29979870658272301</v>
      </c>
      <c r="J40" s="17">
        <f>+H40/F40</f>
        <v>1</v>
      </c>
    </row>
    <row r="41" spans="1:10" x14ac:dyDescent="0.25">
      <c r="A41" s="12" t="s">
        <v>111</v>
      </c>
      <c r="B41" s="13" t="s">
        <v>112</v>
      </c>
      <c r="C41" s="14">
        <v>42</v>
      </c>
      <c r="D41" s="14">
        <v>42</v>
      </c>
      <c r="E41" s="14">
        <v>42</v>
      </c>
      <c r="F41" s="14">
        <v>42</v>
      </c>
      <c r="G41" s="14"/>
      <c r="H41" s="15">
        <f t="shared" si="26"/>
        <v>42</v>
      </c>
      <c r="I41" s="16">
        <f t="shared" si="25"/>
        <v>1</v>
      </c>
      <c r="J41" s="17">
        <f>+H41/F41</f>
        <v>1</v>
      </c>
    </row>
    <row r="42" spans="1:10" x14ac:dyDescent="0.25">
      <c r="A42" s="12"/>
      <c r="B42" s="13"/>
      <c r="C42" s="14"/>
      <c r="D42" s="14"/>
      <c r="E42" s="14"/>
      <c r="F42" s="14"/>
      <c r="G42" s="14"/>
      <c r="H42" s="14"/>
      <c r="I42" s="16"/>
      <c r="J42" s="17"/>
    </row>
    <row r="43" spans="1:10" s="8" customFormat="1" ht="14.25" x14ac:dyDescent="0.2">
      <c r="A43" s="189" t="s">
        <v>114</v>
      </c>
      <c r="B43" s="190"/>
      <c r="C43" s="26">
        <f t="shared" ref="C43:D43" si="27">SUM(C44:C48)+C52</f>
        <v>88005</v>
      </c>
      <c r="D43" s="26">
        <f t="shared" si="27"/>
        <v>86108</v>
      </c>
      <c r="E43" s="26">
        <f>SUM(E44:E48)+E52</f>
        <v>99936</v>
      </c>
      <c r="F43" s="26">
        <f t="shared" ref="F43" si="28">SUM(F44:F48)+F52</f>
        <v>97377</v>
      </c>
      <c r="G43" s="26">
        <f t="shared" ref="G43:H43" si="29">SUM(G44:G48)+G52</f>
        <v>0</v>
      </c>
      <c r="H43" s="26">
        <f t="shared" si="29"/>
        <v>97377</v>
      </c>
      <c r="I43" s="27">
        <f t="shared" si="25"/>
        <v>0.97439361191162344</v>
      </c>
      <c r="J43" s="28">
        <f>+H43/F43</f>
        <v>1</v>
      </c>
    </row>
    <row r="44" spans="1:10" x14ac:dyDescent="0.25">
      <c r="A44" s="12" t="s">
        <v>115</v>
      </c>
      <c r="B44" s="13" t="s">
        <v>116</v>
      </c>
      <c r="C44" s="14">
        <v>2000</v>
      </c>
      <c r="D44" s="14">
        <v>2000</v>
      </c>
      <c r="E44" s="14">
        <v>2046</v>
      </c>
      <c r="F44" s="14">
        <v>2000</v>
      </c>
      <c r="G44" s="14"/>
      <c r="H44" s="15">
        <f t="shared" ref="H44:H47" si="30">+F44+G44</f>
        <v>2000</v>
      </c>
      <c r="I44" s="16">
        <f t="shared" si="25"/>
        <v>0.97751710654936463</v>
      </c>
      <c r="J44" s="17">
        <f>+H44/F44</f>
        <v>1</v>
      </c>
    </row>
    <row r="45" spans="1:10" x14ac:dyDescent="0.25">
      <c r="A45" s="12" t="s">
        <v>117</v>
      </c>
      <c r="B45" s="13" t="s">
        <v>118</v>
      </c>
      <c r="C45" s="14">
        <v>24311</v>
      </c>
      <c r="D45" s="14">
        <v>24311</v>
      </c>
      <c r="E45" s="14">
        <v>30583</v>
      </c>
      <c r="F45" s="14">
        <v>23196</v>
      </c>
      <c r="G45" s="14"/>
      <c r="H45" s="15">
        <f t="shared" si="30"/>
        <v>23196</v>
      </c>
      <c r="I45" s="16">
        <f t="shared" si="25"/>
        <v>0.7584605826766504</v>
      </c>
      <c r="J45" s="17">
        <f>+H45/F45</f>
        <v>1</v>
      </c>
    </row>
    <row r="46" spans="1:10" x14ac:dyDescent="0.25">
      <c r="A46" s="12" t="s">
        <v>117</v>
      </c>
      <c r="B46" s="13" t="s">
        <v>196</v>
      </c>
      <c r="C46" s="14">
        <v>9084</v>
      </c>
      <c r="D46" s="14">
        <v>11714</v>
      </c>
      <c r="E46" s="14">
        <f>278+879+397+12140+779+318</f>
        <v>14791</v>
      </c>
      <c r="F46" s="153">
        <f>275+500+13837+4000</f>
        <v>18612</v>
      </c>
      <c r="G46" s="14"/>
      <c r="H46" s="15">
        <f t="shared" si="30"/>
        <v>18612</v>
      </c>
      <c r="I46" s="16">
        <f t="shared" si="25"/>
        <v>1.2583327699276587</v>
      </c>
      <c r="J46" s="17">
        <f>+H46/F46</f>
        <v>1</v>
      </c>
    </row>
    <row r="47" spans="1:10" x14ac:dyDescent="0.25">
      <c r="A47" s="12" t="s">
        <v>117</v>
      </c>
      <c r="B47" s="13" t="s">
        <v>119</v>
      </c>
      <c r="C47" s="14"/>
      <c r="D47" s="14">
        <v>0</v>
      </c>
      <c r="E47" s="14"/>
      <c r="F47" s="14"/>
      <c r="G47" s="14"/>
      <c r="H47" s="15">
        <f t="shared" si="30"/>
        <v>0</v>
      </c>
      <c r="I47" s="16"/>
      <c r="J47" s="17"/>
    </row>
    <row r="48" spans="1:10" x14ac:dyDescent="0.25">
      <c r="A48" s="227" t="s">
        <v>120</v>
      </c>
      <c r="B48" s="228"/>
      <c r="C48" s="14">
        <f t="shared" ref="C48:E48" si="31">SUM(C49:C51)</f>
        <v>31234</v>
      </c>
      <c r="D48" s="14">
        <f t="shared" si="31"/>
        <v>23293</v>
      </c>
      <c r="E48" s="14">
        <f t="shared" si="31"/>
        <v>23293</v>
      </c>
      <c r="F48" s="14">
        <f t="shared" ref="F48" si="32">SUM(F49:F51)</f>
        <v>31200</v>
      </c>
      <c r="G48" s="14">
        <f t="shared" ref="G48:H48" si="33">SUM(G49:G51)</f>
        <v>0</v>
      </c>
      <c r="H48" s="14">
        <f t="shared" si="33"/>
        <v>31200</v>
      </c>
      <c r="I48" s="16">
        <f t="shared" si="25"/>
        <v>1.3394582063280813</v>
      </c>
      <c r="J48" s="17">
        <f t="shared" ref="J48:J56" si="34">+H48/F48</f>
        <v>1</v>
      </c>
    </row>
    <row r="49" spans="1:10" x14ac:dyDescent="0.25">
      <c r="A49" s="12" t="s">
        <v>117</v>
      </c>
      <c r="B49" s="13" t="s">
        <v>99</v>
      </c>
      <c r="C49" s="14">
        <v>5331</v>
      </c>
      <c r="D49" s="15">
        <v>4109</v>
      </c>
      <c r="E49" s="14">
        <v>4109</v>
      </c>
      <c r="F49" s="14">
        <v>6766</v>
      </c>
      <c r="G49" s="14"/>
      <c r="H49" s="15">
        <f t="shared" ref="H49:H51" si="35">+F49+G49</f>
        <v>6766</v>
      </c>
      <c r="I49" s="16">
        <f t="shared" si="25"/>
        <v>1.646629350206863</v>
      </c>
      <c r="J49" s="17">
        <f t="shared" si="34"/>
        <v>1</v>
      </c>
    </row>
    <row r="50" spans="1:10" x14ac:dyDescent="0.25">
      <c r="A50" s="12" t="s">
        <v>117</v>
      </c>
      <c r="B50" s="13" t="s">
        <v>100</v>
      </c>
      <c r="C50" s="14">
        <v>22559</v>
      </c>
      <c r="D50" s="15">
        <v>17337</v>
      </c>
      <c r="E50" s="14">
        <v>17337</v>
      </c>
      <c r="F50" s="14">
        <v>21165</v>
      </c>
      <c r="G50" s="14"/>
      <c r="H50" s="15">
        <f t="shared" si="35"/>
        <v>21165</v>
      </c>
      <c r="I50" s="16">
        <f t="shared" si="25"/>
        <v>1.2207994462709812</v>
      </c>
      <c r="J50" s="17">
        <f t="shared" si="34"/>
        <v>1</v>
      </c>
    </row>
    <row r="51" spans="1:10" x14ac:dyDescent="0.25">
      <c r="A51" s="12" t="s">
        <v>117</v>
      </c>
      <c r="B51" s="13" t="s">
        <v>195</v>
      </c>
      <c r="C51" s="14">
        <v>3344</v>
      </c>
      <c r="D51" s="15">
        <v>1847</v>
      </c>
      <c r="E51" s="14">
        <v>1847</v>
      </c>
      <c r="F51" s="14">
        <v>3269</v>
      </c>
      <c r="G51" s="14"/>
      <c r="H51" s="15">
        <f t="shared" si="35"/>
        <v>3269</v>
      </c>
      <c r="I51" s="16">
        <f t="shared" si="25"/>
        <v>1.7698971304818625</v>
      </c>
      <c r="J51" s="17">
        <f t="shared" si="34"/>
        <v>1</v>
      </c>
    </row>
    <row r="52" spans="1:10" x14ac:dyDescent="0.25">
      <c r="A52" s="227" t="s">
        <v>121</v>
      </c>
      <c r="B52" s="228"/>
      <c r="C52" s="14">
        <f t="shared" ref="C52:E52" si="36">SUM(C53:C54)</f>
        <v>21376</v>
      </c>
      <c r="D52" s="14">
        <f t="shared" si="36"/>
        <v>24790</v>
      </c>
      <c r="E52" s="14">
        <f t="shared" si="36"/>
        <v>29223</v>
      </c>
      <c r="F52" s="14">
        <f t="shared" ref="F52" si="37">SUM(F53:F54)</f>
        <v>22369</v>
      </c>
      <c r="G52" s="14">
        <f t="shared" ref="G52:H52" si="38">SUM(G53:G54)</f>
        <v>0</v>
      </c>
      <c r="H52" s="14">
        <f t="shared" si="38"/>
        <v>22369</v>
      </c>
      <c r="I52" s="16">
        <f t="shared" si="25"/>
        <v>0.76545871402662291</v>
      </c>
      <c r="J52" s="17">
        <f t="shared" si="34"/>
        <v>1</v>
      </c>
    </row>
    <row r="53" spans="1:10" x14ac:dyDescent="0.25">
      <c r="A53" s="12"/>
      <c r="B53" s="13" t="s">
        <v>122</v>
      </c>
      <c r="C53" s="14">
        <f>13804+1439</f>
        <v>15243</v>
      </c>
      <c r="D53" s="14">
        <v>13207</v>
      </c>
      <c r="E53" s="14">
        <f>13903+1109</f>
        <v>15012</v>
      </c>
      <c r="F53" s="14">
        <f>13072+1827</f>
        <v>14899</v>
      </c>
      <c r="G53" s="14"/>
      <c r="H53" s="15">
        <f t="shared" ref="H53:H54" si="39">+F53+G53</f>
        <v>14899</v>
      </c>
      <c r="I53" s="16">
        <f t="shared" si="25"/>
        <v>0.99247268851585402</v>
      </c>
      <c r="J53" s="17">
        <f t="shared" si="34"/>
        <v>1</v>
      </c>
    </row>
    <row r="54" spans="1:10" x14ac:dyDescent="0.25">
      <c r="A54" s="12"/>
      <c r="B54" s="13" t="s">
        <v>123</v>
      </c>
      <c r="C54" s="14">
        <v>6133</v>
      </c>
      <c r="D54" s="14">
        <v>11583</v>
      </c>
      <c r="E54" s="14">
        <f>1768+12443</f>
        <v>14211</v>
      </c>
      <c r="F54" s="14">
        <v>7470</v>
      </c>
      <c r="G54" s="14"/>
      <c r="H54" s="15">
        <f t="shared" si="39"/>
        <v>7470</v>
      </c>
      <c r="I54" s="16">
        <f t="shared" si="25"/>
        <v>0.52564914502849902</v>
      </c>
      <c r="J54" s="17">
        <f t="shared" si="34"/>
        <v>1</v>
      </c>
    </row>
    <row r="55" spans="1:10" ht="30.75" customHeight="1" x14ac:dyDescent="0.25">
      <c r="A55" s="237" t="s">
        <v>124</v>
      </c>
      <c r="B55" s="238"/>
      <c r="C55" s="29">
        <f t="shared" ref="C55:E55" si="40">SUM(C56:C57)</f>
        <v>1767</v>
      </c>
      <c r="D55" s="29">
        <f t="shared" si="40"/>
        <v>5017</v>
      </c>
      <c r="E55" s="29">
        <f t="shared" si="40"/>
        <v>5094</v>
      </c>
      <c r="F55" s="29">
        <f t="shared" ref="F55" si="41">SUM(F56:F57)</f>
        <v>1693</v>
      </c>
      <c r="G55" s="29">
        <f t="shared" ref="G55:H55" si="42">SUM(G56:G57)</f>
        <v>250</v>
      </c>
      <c r="H55" s="29">
        <f t="shared" si="42"/>
        <v>1943</v>
      </c>
      <c r="I55" s="30">
        <f t="shared" si="25"/>
        <v>0.38142913231252457</v>
      </c>
      <c r="J55" s="31">
        <f t="shared" si="34"/>
        <v>1.147666863555818</v>
      </c>
    </row>
    <row r="56" spans="1:10" x14ac:dyDescent="0.25">
      <c r="A56" s="12" t="s">
        <v>113</v>
      </c>
      <c r="B56" s="13" t="s">
        <v>125</v>
      </c>
      <c r="C56" s="14">
        <f>700+1067</f>
        <v>1767</v>
      </c>
      <c r="D56" s="14">
        <v>5015</v>
      </c>
      <c r="E56" s="19">
        <v>5057</v>
      </c>
      <c r="F56" s="14">
        <v>1693</v>
      </c>
      <c r="G56" s="14">
        <v>250</v>
      </c>
      <c r="H56" s="15">
        <f t="shared" ref="H56:H57" si="43">+F56+G56</f>
        <v>1943</v>
      </c>
      <c r="I56" s="16">
        <f t="shared" si="25"/>
        <v>0.38421989321732253</v>
      </c>
      <c r="J56" s="17">
        <f t="shared" si="34"/>
        <v>1.147666863555818</v>
      </c>
    </row>
    <row r="57" spans="1:10" ht="15.75" thickBot="1" x14ac:dyDescent="0.3">
      <c r="A57" s="32" t="s">
        <v>113</v>
      </c>
      <c r="B57" s="33" t="s">
        <v>99</v>
      </c>
      <c r="C57" s="34"/>
      <c r="D57" s="34">
        <v>2</v>
      </c>
      <c r="E57" s="151">
        <v>37</v>
      </c>
      <c r="F57" s="34"/>
      <c r="G57" s="34"/>
      <c r="H57" s="35">
        <f t="shared" si="43"/>
        <v>0</v>
      </c>
      <c r="I57" s="36">
        <f t="shared" si="25"/>
        <v>0</v>
      </c>
      <c r="J57" s="37"/>
    </row>
    <row r="58" spans="1:10" ht="30" customHeight="1" thickBot="1" x14ac:dyDescent="0.3"/>
    <row r="59" spans="1:10" s="3" customFormat="1" ht="14.25" x14ac:dyDescent="0.25">
      <c r="A59" s="175" t="s">
        <v>193</v>
      </c>
      <c r="B59" s="176"/>
      <c r="C59" s="176" t="s">
        <v>187</v>
      </c>
      <c r="D59" s="176"/>
      <c r="E59" s="176"/>
      <c r="F59" s="156" t="s">
        <v>222</v>
      </c>
      <c r="G59" s="157"/>
      <c r="H59" s="158"/>
      <c r="I59" s="1" t="s">
        <v>4</v>
      </c>
      <c r="J59" s="2" t="s">
        <v>4</v>
      </c>
    </row>
    <row r="60" spans="1:10" s="4" customFormat="1" ht="15" customHeight="1" x14ac:dyDescent="0.25">
      <c r="A60" s="169" t="s">
        <v>0</v>
      </c>
      <c r="B60" s="170"/>
      <c r="C60" s="159" t="s">
        <v>2</v>
      </c>
      <c r="D60" s="160" t="s">
        <v>206</v>
      </c>
      <c r="E60" s="160" t="s">
        <v>3</v>
      </c>
      <c r="F60" s="159" t="s">
        <v>2</v>
      </c>
      <c r="G60" s="159" t="s">
        <v>205</v>
      </c>
      <c r="H60" s="160" t="s">
        <v>206</v>
      </c>
      <c r="I60" s="161" t="s">
        <v>215</v>
      </c>
      <c r="J60" s="164" t="s">
        <v>216</v>
      </c>
    </row>
    <row r="61" spans="1:10" s="4" customFormat="1" x14ac:dyDescent="0.25">
      <c r="A61" s="169" t="s">
        <v>126</v>
      </c>
      <c r="B61" s="170"/>
      <c r="C61" s="159"/>
      <c r="D61" s="160"/>
      <c r="E61" s="160"/>
      <c r="F61" s="159"/>
      <c r="G61" s="159"/>
      <c r="H61" s="160"/>
      <c r="I61" s="162"/>
      <c r="J61" s="165"/>
    </row>
    <row r="62" spans="1:10" s="4" customFormat="1" ht="23.25" customHeight="1" x14ac:dyDescent="0.25">
      <c r="A62" s="167"/>
      <c r="B62" s="168"/>
      <c r="C62" s="69">
        <v>1</v>
      </c>
      <c r="D62" s="70">
        <v>2</v>
      </c>
      <c r="E62" s="70">
        <v>3</v>
      </c>
      <c r="F62" s="70">
        <v>4</v>
      </c>
      <c r="G62" s="69">
        <v>5</v>
      </c>
      <c r="H62" s="70">
        <v>6</v>
      </c>
      <c r="I62" s="163"/>
      <c r="J62" s="166"/>
    </row>
    <row r="63" spans="1:10" s="8" customFormat="1" ht="14.25" x14ac:dyDescent="0.2">
      <c r="A63" s="235" t="s">
        <v>127</v>
      </c>
      <c r="B63" s="236"/>
      <c r="C63" s="38">
        <f t="shared" ref="C63:E63" si="44">SUM(C64:C70)</f>
        <v>316994</v>
      </c>
      <c r="D63" s="38">
        <f t="shared" si="44"/>
        <v>394980</v>
      </c>
      <c r="E63" s="38">
        <f t="shared" si="44"/>
        <v>459647</v>
      </c>
      <c r="F63" s="38">
        <f t="shared" ref="F63" si="45">SUM(F64:F70)</f>
        <v>453018</v>
      </c>
      <c r="G63" s="38">
        <f t="shared" ref="G63:H63" si="46">SUM(G64:G70)</f>
        <v>0</v>
      </c>
      <c r="H63" s="38">
        <f t="shared" si="46"/>
        <v>453018</v>
      </c>
      <c r="I63" s="39">
        <f t="shared" ref="I63:I74" si="47">+H63/E63</f>
        <v>0.98557806316586427</v>
      </c>
      <c r="J63" s="40">
        <f>+H63/F63</f>
        <v>1</v>
      </c>
    </row>
    <row r="64" spans="1:10" x14ac:dyDescent="0.25">
      <c r="A64" s="12" t="s">
        <v>115</v>
      </c>
      <c r="B64" s="13" t="s">
        <v>128</v>
      </c>
      <c r="C64" s="14"/>
      <c r="D64" s="14"/>
      <c r="E64" s="14"/>
      <c r="F64" s="14"/>
      <c r="G64" s="14"/>
      <c r="H64" s="15">
        <f t="shared" ref="H64:H69" si="48">+F64+G64</f>
        <v>0</v>
      </c>
      <c r="I64" s="16"/>
      <c r="J64" s="17"/>
    </row>
    <row r="65" spans="1:10" x14ac:dyDescent="0.25">
      <c r="A65" s="12" t="s">
        <v>115</v>
      </c>
      <c r="B65" s="13" t="s">
        <v>129</v>
      </c>
      <c r="C65" s="14"/>
      <c r="D65" s="14"/>
      <c r="E65" s="14"/>
      <c r="F65" s="14"/>
      <c r="G65" s="14"/>
      <c r="H65" s="15">
        <f t="shared" si="48"/>
        <v>0</v>
      </c>
      <c r="I65" s="16"/>
      <c r="J65" s="17"/>
    </row>
    <row r="66" spans="1:10" x14ac:dyDescent="0.25">
      <c r="A66" s="12" t="s">
        <v>115</v>
      </c>
      <c r="B66" s="13" t="s">
        <v>142</v>
      </c>
      <c r="C66" s="14">
        <v>2000</v>
      </c>
      <c r="D66" s="14">
        <v>2000</v>
      </c>
      <c r="E66" s="14">
        <v>2592</v>
      </c>
      <c r="F66" s="14">
        <v>2000</v>
      </c>
      <c r="G66" s="14"/>
      <c r="H66" s="15">
        <f t="shared" si="48"/>
        <v>2000</v>
      </c>
      <c r="I66" s="16">
        <f t="shared" si="47"/>
        <v>0.77160493827160492</v>
      </c>
      <c r="J66" s="17"/>
    </row>
    <row r="67" spans="1:10" x14ac:dyDescent="0.25">
      <c r="A67" s="12" t="s">
        <v>115</v>
      </c>
      <c r="B67" s="13" t="s">
        <v>143</v>
      </c>
      <c r="C67" s="14">
        <v>3500</v>
      </c>
      <c r="D67" s="14">
        <v>3500</v>
      </c>
      <c r="E67" s="14">
        <v>3973</v>
      </c>
      <c r="F67" s="14">
        <v>3500</v>
      </c>
      <c r="G67" s="14"/>
      <c r="H67" s="15">
        <f t="shared" si="48"/>
        <v>3500</v>
      </c>
      <c r="I67" s="16">
        <f t="shared" si="47"/>
        <v>0.88094638811980874</v>
      </c>
      <c r="J67" s="17"/>
    </row>
    <row r="68" spans="1:10" x14ac:dyDescent="0.25">
      <c r="A68" s="12" t="s">
        <v>115</v>
      </c>
      <c r="B68" s="13" t="s">
        <v>144</v>
      </c>
      <c r="C68" s="14">
        <v>20000</v>
      </c>
      <c r="D68" s="14">
        <v>20000</v>
      </c>
      <c r="E68" s="14">
        <v>17552</v>
      </c>
      <c r="F68" s="14"/>
      <c r="G68" s="14"/>
      <c r="H68" s="15">
        <f t="shared" si="48"/>
        <v>0</v>
      </c>
      <c r="I68" s="16">
        <f t="shared" si="47"/>
        <v>0</v>
      </c>
      <c r="J68" s="17"/>
    </row>
    <row r="69" spans="1:10" x14ac:dyDescent="0.25">
      <c r="A69" s="12" t="s">
        <v>115</v>
      </c>
      <c r="B69" s="13" t="s">
        <v>145</v>
      </c>
      <c r="C69" s="19">
        <f>6244</f>
        <v>6244</v>
      </c>
      <c r="D69" s="14">
        <v>6244</v>
      </c>
      <c r="E69" s="14">
        <v>11725</v>
      </c>
      <c r="F69" s="19">
        <v>2430</v>
      </c>
      <c r="G69" s="14"/>
      <c r="H69" s="15">
        <f t="shared" si="48"/>
        <v>2430</v>
      </c>
      <c r="I69" s="16">
        <f t="shared" si="47"/>
        <v>0.2072494669509595</v>
      </c>
      <c r="J69" s="17">
        <f t="shared" ref="J69:J74" si="49">+H69/F69</f>
        <v>1</v>
      </c>
    </row>
    <row r="70" spans="1:10" x14ac:dyDescent="0.25">
      <c r="A70" s="227" t="s">
        <v>130</v>
      </c>
      <c r="B70" s="228"/>
      <c r="C70" s="14">
        <f t="shared" ref="C70:E70" si="50">SUM(C71:C74)</f>
        <v>285250</v>
      </c>
      <c r="D70" s="14">
        <f t="shared" si="50"/>
        <v>363236</v>
      </c>
      <c r="E70" s="14">
        <f t="shared" si="50"/>
        <v>423805</v>
      </c>
      <c r="F70" s="14">
        <f t="shared" ref="F70" si="51">SUM(F71:F74)</f>
        <v>445088</v>
      </c>
      <c r="G70" s="14">
        <f t="shared" ref="G70:H70" si="52">SUM(G71:G74)</f>
        <v>0</v>
      </c>
      <c r="H70" s="14">
        <f t="shared" si="52"/>
        <v>445088</v>
      </c>
      <c r="I70" s="16">
        <f t="shared" si="47"/>
        <v>1.0502188506506529</v>
      </c>
      <c r="J70" s="17">
        <f t="shared" si="49"/>
        <v>1</v>
      </c>
    </row>
    <row r="71" spans="1:10" x14ac:dyDescent="0.25">
      <c r="A71" s="12" t="s">
        <v>115</v>
      </c>
      <c r="B71" s="13" t="s">
        <v>131</v>
      </c>
      <c r="C71" s="14">
        <v>31000</v>
      </c>
      <c r="D71" s="14">
        <v>31000</v>
      </c>
      <c r="E71" s="14">
        <v>36068</v>
      </c>
      <c r="F71" s="14">
        <f>31000</f>
        <v>31000</v>
      </c>
      <c r="G71" s="14"/>
      <c r="H71" s="15">
        <f t="shared" ref="H71:H73" si="53">+F71+G71</f>
        <v>31000</v>
      </c>
      <c r="I71" s="16">
        <f t="shared" si="47"/>
        <v>0.85948763446822674</v>
      </c>
      <c r="J71" s="17">
        <f t="shared" si="49"/>
        <v>1</v>
      </c>
    </row>
    <row r="72" spans="1:10" x14ac:dyDescent="0.25">
      <c r="A72" s="12" t="s">
        <v>115</v>
      </c>
      <c r="B72" s="13" t="s">
        <v>132</v>
      </c>
      <c r="C72" s="14">
        <f>72000+30650</f>
        <v>102650</v>
      </c>
      <c r="D72" s="14">
        <v>180636</v>
      </c>
      <c r="E72" s="14">
        <v>181075</v>
      </c>
      <c r="F72" s="14">
        <f>180650+4000</f>
        <v>184650</v>
      </c>
      <c r="G72" s="14"/>
      <c r="H72" s="15">
        <f t="shared" si="53"/>
        <v>184650</v>
      </c>
      <c r="I72" s="16">
        <f t="shared" si="47"/>
        <v>1.0197432003313545</v>
      </c>
      <c r="J72" s="17">
        <f t="shared" si="49"/>
        <v>1</v>
      </c>
    </row>
    <row r="73" spans="1:10" x14ac:dyDescent="0.25">
      <c r="A73" s="12" t="s">
        <v>115</v>
      </c>
      <c r="B73" s="13" t="s">
        <v>133</v>
      </c>
      <c r="C73" s="14">
        <v>54800</v>
      </c>
      <c r="D73" s="14">
        <v>54800</v>
      </c>
      <c r="E73" s="14">
        <v>58214</v>
      </c>
      <c r="F73" s="14">
        <v>54800</v>
      </c>
      <c r="G73" s="14"/>
      <c r="H73" s="15">
        <f t="shared" si="53"/>
        <v>54800</v>
      </c>
      <c r="I73" s="16">
        <f t="shared" si="47"/>
        <v>0.94135431339540321</v>
      </c>
      <c r="J73" s="17">
        <f t="shared" si="49"/>
        <v>1</v>
      </c>
    </row>
    <row r="74" spans="1:10" ht="15.75" thickBot="1" x14ac:dyDescent="0.3">
      <c r="A74" s="32" t="s">
        <v>115</v>
      </c>
      <c r="B74" s="33" t="s">
        <v>134</v>
      </c>
      <c r="C74" s="34">
        <v>96800</v>
      </c>
      <c r="D74" s="34">
        <v>96800</v>
      </c>
      <c r="E74" s="34">
        <v>148448</v>
      </c>
      <c r="F74" s="34">
        <f>169600+1863+7175-4000</f>
        <v>174638</v>
      </c>
      <c r="G74" s="34"/>
      <c r="H74" s="34">
        <f>+F74+G74</f>
        <v>174638</v>
      </c>
      <c r="I74" s="36">
        <f t="shared" si="47"/>
        <v>1.1764254149601208</v>
      </c>
      <c r="J74" s="37">
        <f t="shared" si="49"/>
        <v>1</v>
      </c>
    </row>
    <row r="75" spans="1:10" ht="30" customHeight="1" thickBot="1" x14ac:dyDescent="0.3"/>
    <row r="76" spans="1:10" s="3" customFormat="1" ht="14.25" x14ac:dyDescent="0.25">
      <c r="A76" s="175" t="s">
        <v>193</v>
      </c>
      <c r="B76" s="176"/>
      <c r="C76" s="176" t="s">
        <v>187</v>
      </c>
      <c r="D76" s="176"/>
      <c r="E76" s="176"/>
      <c r="F76" s="156" t="s">
        <v>222</v>
      </c>
      <c r="G76" s="157"/>
      <c r="H76" s="158"/>
      <c r="I76" s="1" t="s">
        <v>4</v>
      </c>
      <c r="J76" s="2" t="s">
        <v>4</v>
      </c>
    </row>
    <row r="77" spans="1:10" s="4" customFormat="1" ht="15" customHeight="1" x14ac:dyDescent="0.25">
      <c r="A77" s="169" t="s">
        <v>0</v>
      </c>
      <c r="B77" s="170"/>
      <c r="C77" s="159" t="s">
        <v>2</v>
      </c>
      <c r="D77" s="160" t="s">
        <v>206</v>
      </c>
      <c r="E77" s="160" t="s">
        <v>3</v>
      </c>
      <c r="F77" s="159" t="s">
        <v>2</v>
      </c>
      <c r="G77" s="159" t="s">
        <v>205</v>
      </c>
      <c r="H77" s="160" t="s">
        <v>206</v>
      </c>
      <c r="I77" s="161" t="s">
        <v>215</v>
      </c>
      <c r="J77" s="164" t="s">
        <v>216</v>
      </c>
    </row>
    <row r="78" spans="1:10" s="4" customFormat="1" x14ac:dyDescent="0.25">
      <c r="A78" s="169" t="s">
        <v>135</v>
      </c>
      <c r="B78" s="170"/>
      <c r="C78" s="159"/>
      <c r="D78" s="160"/>
      <c r="E78" s="160"/>
      <c r="F78" s="159"/>
      <c r="G78" s="159"/>
      <c r="H78" s="160"/>
      <c r="I78" s="162"/>
      <c r="J78" s="165"/>
    </row>
    <row r="79" spans="1:10" s="4" customFormat="1" ht="22.5" customHeight="1" x14ac:dyDescent="0.25">
      <c r="A79" s="167"/>
      <c r="B79" s="168"/>
      <c r="C79" s="69">
        <v>1</v>
      </c>
      <c r="D79" s="70">
        <v>2</v>
      </c>
      <c r="E79" s="70">
        <v>3</v>
      </c>
      <c r="F79" s="70">
        <v>4</v>
      </c>
      <c r="G79" s="69">
        <v>5</v>
      </c>
      <c r="H79" s="70">
        <v>6</v>
      </c>
      <c r="I79" s="163"/>
      <c r="J79" s="166"/>
    </row>
    <row r="80" spans="1:10" x14ac:dyDescent="0.25">
      <c r="A80" s="247" t="s">
        <v>178</v>
      </c>
      <c r="B80" s="248"/>
      <c r="C80" s="41">
        <f>SUM(C81:C85)</f>
        <v>977242</v>
      </c>
      <c r="D80" s="41">
        <f t="shared" ref="D80:H80" si="54">SUM(D81:D85)</f>
        <v>1169792</v>
      </c>
      <c r="E80" s="41">
        <f t="shared" si="54"/>
        <v>1250333</v>
      </c>
      <c r="F80" s="41">
        <f t="shared" si="54"/>
        <v>1198899</v>
      </c>
      <c r="G80" s="41">
        <f t="shared" si="54"/>
        <v>250</v>
      </c>
      <c r="H80" s="41">
        <f t="shared" si="54"/>
        <v>1199149</v>
      </c>
      <c r="I80" s="42">
        <f t="shared" ref="I80:I85" si="55">+H80/E80</f>
        <v>0.95906370542887376</v>
      </c>
      <c r="J80" s="43">
        <f t="shared" ref="J80:J85" si="56">+H80/F80</f>
        <v>1.0002085246547041</v>
      </c>
    </row>
    <row r="81" spans="1:10" s="8" customFormat="1" ht="14.25" x14ac:dyDescent="0.2">
      <c r="A81" s="223" t="s">
        <v>81</v>
      </c>
      <c r="B81" s="224"/>
      <c r="C81" s="5">
        <f>+C5</f>
        <v>543618</v>
      </c>
      <c r="D81" s="5">
        <f t="shared" ref="D81:H81" si="57">+D5</f>
        <v>637480</v>
      </c>
      <c r="E81" s="5">
        <f t="shared" si="57"/>
        <v>637480</v>
      </c>
      <c r="F81" s="5">
        <f t="shared" si="57"/>
        <v>615421</v>
      </c>
      <c r="G81" s="5">
        <f t="shared" si="57"/>
        <v>0</v>
      </c>
      <c r="H81" s="5">
        <f t="shared" si="57"/>
        <v>615421</v>
      </c>
      <c r="I81" s="6">
        <f t="shared" si="55"/>
        <v>0.9653965614607517</v>
      </c>
      <c r="J81" s="7">
        <f t="shared" si="56"/>
        <v>1</v>
      </c>
    </row>
    <row r="82" spans="1:10" s="8" customFormat="1" ht="14.25" x14ac:dyDescent="0.2">
      <c r="A82" s="233" t="s">
        <v>104</v>
      </c>
      <c r="B82" s="234"/>
      <c r="C82" s="23">
        <f>+C34</f>
        <v>26858</v>
      </c>
      <c r="D82" s="23">
        <f t="shared" ref="D82:H82" si="58">+D34</f>
        <v>46207</v>
      </c>
      <c r="E82" s="23">
        <f t="shared" si="58"/>
        <v>48176</v>
      </c>
      <c r="F82" s="23">
        <f t="shared" si="58"/>
        <v>31390</v>
      </c>
      <c r="G82" s="23">
        <f t="shared" si="58"/>
        <v>0</v>
      </c>
      <c r="H82" s="23">
        <f t="shared" si="58"/>
        <v>31390</v>
      </c>
      <c r="I82" s="24">
        <f t="shared" si="55"/>
        <v>0.651569246097642</v>
      </c>
      <c r="J82" s="25">
        <f t="shared" si="56"/>
        <v>1</v>
      </c>
    </row>
    <row r="83" spans="1:10" s="8" customFormat="1" ht="14.25" x14ac:dyDescent="0.2">
      <c r="A83" s="189" t="s">
        <v>114</v>
      </c>
      <c r="B83" s="190"/>
      <c r="C83" s="26">
        <f>+C43</f>
        <v>88005</v>
      </c>
      <c r="D83" s="26">
        <f t="shared" ref="D83:H83" si="59">+D43</f>
        <v>86108</v>
      </c>
      <c r="E83" s="26">
        <f t="shared" si="59"/>
        <v>99936</v>
      </c>
      <c r="F83" s="26">
        <f t="shared" si="59"/>
        <v>97377</v>
      </c>
      <c r="G83" s="26">
        <f t="shared" si="59"/>
        <v>0</v>
      </c>
      <c r="H83" s="26">
        <f t="shared" si="59"/>
        <v>97377</v>
      </c>
      <c r="I83" s="27">
        <f t="shared" si="55"/>
        <v>0.97439361191162344</v>
      </c>
      <c r="J83" s="28">
        <f t="shared" si="56"/>
        <v>1</v>
      </c>
    </row>
    <row r="84" spans="1:10" x14ac:dyDescent="0.25">
      <c r="A84" s="241" t="s">
        <v>124</v>
      </c>
      <c r="B84" s="242"/>
      <c r="C84" s="29">
        <f>+C55</f>
        <v>1767</v>
      </c>
      <c r="D84" s="29">
        <f t="shared" ref="D84:H84" si="60">+D55</f>
        <v>5017</v>
      </c>
      <c r="E84" s="29">
        <f t="shared" si="60"/>
        <v>5094</v>
      </c>
      <c r="F84" s="29">
        <f t="shared" si="60"/>
        <v>1693</v>
      </c>
      <c r="G84" s="29">
        <f t="shared" si="60"/>
        <v>250</v>
      </c>
      <c r="H84" s="29">
        <f t="shared" si="60"/>
        <v>1943</v>
      </c>
      <c r="I84" s="30">
        <f t="shared" si="55"/>
        <v>0.38142913231252457</v>
      </c>
      <c r="J84" s="31">
        <f t="shared" si="56"/>
        <v>1.147666863555818</v>
      </c>
    </row>
    <row r="85" spans="1:10" s="8" customFormat="1" thickBot="1" x14ac:dyDescent="0.25">
      <c r="A85" s="243" t="s">
        <v>127</v>
      </c>
      <c r="B85" s="244"/>
      <c r="C85" s="44">
        <f>+C63</f>
        <v>316994</v>
      </c>
      <c r="D85" s="44">
        <f t="shared" ref="D85:H85" si="61">+D63</f>
        <v>394980</v>
      </c>
      <c r="E85" s="44">
        <f t="shared" si="61"/>
        <v>459647</v>
      </c>
      <c r="F85" s="44">
        <f t="shared" si="61"/>
        <v>453018</v>
      </c>
      <c r="G85" s="44">
        <f t="shared" si="61"/>
        <v>0</v>
      </c>
      <c r="H85" s="44">
        <f t="shared" si="61"/>
        <v>453018</v>
      </c>
      <c r="I85" s="45">
        <f t="shared" si="55"/>
        <v>0.98557806316586427</v>
      </c>
      <c r="J85" s="46">
        <f t="shared" si="56"/>
        <v>1</v>
      </c>
    </row>
    <row r="86" spans="1:10" ht="30" customHeight="1" thickBot="1" x14ac:dyDescent="0.3"/>
    <row r="87" spans="1:10" s="3" customFormat="1" ht="14.25" x14ac:dyDescent="0.25">
      <c r="A87" s="175" t="s">
        <v>193</v>
      </c>
      <c r="B87" s="176"/>
      <c r="C87" s="176" t="s">
        <v>187</v>
      </c>
      <c r="D87" s="176"/>
      <c r="E87" s="176"/>
      <c r="F87" s="156" t="s">
        <v>222</v>
      </c>
      <c r="G87" s="157"/>
      <c r="H87" s="158"/>
      <c r="I87" s="1" t="s">
        <v>4</v>
      </c>
      <c r="J87" s="2" t="s">
        <v>4</v>
      </c>
    </row>
    <row r="88" spans="1:10" s="4" customFormat="1" ht="15" customHeight="1" x14ac:dyDescent="0.25">
      <c r="A88" s="169" t="s">
        <v>0</v>
      </c>
      <c r="B88" s="170"/>
      <c r="C88" s="159" t="s">
        <v>2</v>
      </c>
      <c r="D88" s="160" t="s">
        <v>206</v>
      </c>
      <c r="E88" s="160" t="s">
        <v>3</v>
      </c>
      <c r="F88" s="159" t="s">
        <v>2</v>
      </c>
      <c r="G88" s="159" t="s">
        <v>205</v>
      </c>
      <c r="H88" s="160" t="s">
        <v>206</v>
      </c>
      <c r="I88" s="161" t="s">
        <v>215</v>
      </c>
      <c r="J88" s="164" t="s">
        <v>216</v>
      </c>
    </row>
    <row r="89" spans="1:10" s="4" customFormat="1" x14ac:dyDescent="0.25">
      <c r="A89" s="169" t="s">
        <v>135</v>
      </c>
      <c r="B89" s="170"/>
      <c r="C89" s="159"/>
      <c r="D89" s="160"/>
      <c r="E89" s="160"/>
      <c r="F89" s="159"/>
      <c r="G89" s="159"/>
      <c r="H89" s="160"/>
      <c r="I89" s="162"/>
      <c r="J89" s="165"/>
    </row>
    <row r="90" spans="1:10" s="4" customFormat="1" ht="21" customHeight="1" x14ac:dyDescent="0.25">
      <c r="A90" s="167"/>
      <c r="B90" s="168"/>
      <c r="C90" s="69">
        <v>1</v>
      </c>
      <c r="D90" s="70">
        <v>2</v>
      </c>
      <c r="E90" s="70">
        <v>3</v>
      </c>
      <c r="F90" s="70">
        <v>4</v>
      </c>
      <c r="G90" s="69">
        <v>5</v>
      </c>
      <c r="H90" s="70">
        <v>6</v>
      </c>
      <c r="I90" s="163"/>
      <c r="J90" s="166"/>
    </row>
    <row r="91" spans="1:10" x14ac:dyDescent="0.25">
      <c r="A91" s="219" t="s">
        <v>180</v>
      </c>
      <c r="B91" s="220"/>
      <c r="C91" s="47">
        <f t="shared" ref="C91:E91" si="62">SUM(C92:C96)</f>
        <v>154253</v>
      </c>
      <c r="D91" s="47">
        <f t="shared" si="62"/>
        <v>280554</v>
      </c>
      <c r="E91" s="47">
        <f t="shared" si="62"/>
        <v>304851</v>
      </c>
      <c r="F91" s="47">
        <f t="shared" ref="F91" si="63">SUM(F92:F96)</f>
        <v>0</v>
      </c>
      <c r="G91" s="47">
        <f>SUM(G92:G96)</f>
        <v>291935</v>
      </c>
      <c r="H91" s="47">
        <f>SUM(H92:H96)</f>
        <v>291935</v>
      </c>
      <c r="I91" s="48">
        <f t="shared" ref="I91:I97" si="64">+H91/E91</f>
        <v>0.95763176108984394</v>
      </c>
      <c r="J91" s="49"/>
    </row>
    <row r="92" spans="1:10" x14ac:dyDescent="0.25">
      <c r="A92" s="12"/>
      <c r="B92" s="13" t="s">
        <v>138</v>
      </c>
      <c r="C92" s="14"/>
      <c r="D92" s="14"/>
      <c r="E92" s="14"/>
      <c r="F92" s="14"/>
      <c r="G92" s="14"/>
      <c r="H92" s="14"/>
      <c r="I92" s="16"/>
      <c r="J92" s="17"/>
    </row>
    <row r="93" spans="1:10" s="55" customFormat="1" ht="30" x14ac:dyDescent="0.25">
      <c r="A93" s="50"/>
      <c r="B93" s="51" t="s">
        <v>229</v>
      </c>
      <c r="C93" s="52">
        <f>29000+2071+5969+1341+62500+53372</f>
        <v>154253</v>
      </c>
      <c r="D93" s="52">
        <v>207063</v>
      </c>
      <c r="E93" s="52">
        <v>207063</v>
      </c>
      <c r="F93" s="52"/>
      <c r="G93" s="52">
        <f>6963+4418+52903+10712+5964+36791+163413</f>
        <v>281164</v>
      </c>
      <c r="H93" s="52">
        <f>+F93+G93</f>
        <v>281164</v>
      </c>
      <c r="I93" s="53">
        <f t="shared" si="64"/>
        <v>1.3578669293886401</v>
      </c>
      <c r="J93" s="54"/>
    </row>
    <row r="94" spans="1:10" s="55" customFormat="1" x14ac:dyDescent="0.25">
      <c r="A94" s="50"/>
      <c r="B94" s="56" t="s">
        <v>189</v>
      </c>
      <c r="C94" s="52"/>
      <c r="D94" s="52">
        <v>17466</v>
      </c>
      <c r="E94" s="52">
        <f>487+8738+728+8000+500</f>
        <v>18453</v>
      </c>
      <c r="F94" s="52"/>
      <c r="G94" s="52">
        <f>2018+2000+200</f>
        <v>4218</v>
      </c>
      <c r="H94" s="52">
        <f t="shared" ref="H94:H95" si="65">+F94+G94</f>
        <v>4218</v>
      </c>
      <c r="I94" s="53">
        <f t="shared" si="64"/>
        <v>0.22858071858234433</v>
      </c>
      <c r="J94" s="54"/>
    </row>
    <row r="95" spans="1:10" s="55" customFormat="1" x14ac:dyDescent="0.25">
      <c r="A95" s="50"/>
      <c r="B95" s="56" t="s">
        <v>190</v>
      </c>
      <c r="C95" s="52"/>
      <c r="D95" s="52">
        <v>56025</v>
      </c>
      <c r="E95" s="52">
        <f>741+56025</f>
        <v>56766</v>
      </c>
      <c r="F95" s="52"/>
      <c r="G95" s="52">
        <f>5153+1391+9</f>
        <v>6553</v>
      </c>
      <c r="H95" s="52">
        <f t="shared" si="65"/>
        <v>6553</v>
      </c>
      <c r="I95" s="53">
        <f t="shared" si="64"/>
        <v>0.11543881901138005</v>
      </c>
      <c r="J95" s="54"/>
    </row>
    <row r="96" spans="1:10" ht="15.75" thickBot="1" x14ac:dyDescent="0.3">
      <c r="A96" s="58"/>
      <c r="B96" s="59" t="s">
        <v>139</v>
      </c>
      <c r="C96" s="57"/>
      <c r="D96" s="57"/>
      <c r="E96" s="57">
        <v>22569</v>
      </c>
      <c r="F96" s="57"/>
      <c r="G96" s="57"/>
      <c r="H96" s="57"/>
      <c r="I96" s="53"/>
      <c r="J96" s="60"/>
    </row>
    <row r="97" spans="1:10" ht="15.75" thickBot="1" x14ac:dyDescent="0.3">
      <c r="A97" s="245" t="s">
        <v>209</v>
      </c>
      <c r="B97" s="246"/>
      <c r="C97" s="61">
        <f>+C80+C91</f>
        <v>1131495</v>
      </c>
      <c r="D97" s="61">
        <f t="shared" ref="D97:H97" si="66">+D80+D91</f>
        <v>1450346</v>
      </c>
      <c r="E97" s="61">
        <f t="shared" si="66"/>
        <v>1555184</v>
      </c>
      <c r="F97" s="61">
        <f t="shared" si="66"/>
        <v>1198899</v>
      </c>
      <c r="G97" s="61">
        <f t="shared" si="66"/>
        <v>292185</v>
      </c>
      <c r="H97" s="61">
        <f t="shared" si="66"/>
        <v>1491084</v>
      </c>
      <c r="I97" s="62">
        <f t="shared" si="64"/>
        <v>0.95878301217090711</v>
      </c>
      <c r="J97" s="63">
        <f>+H97/F97</f>
        <v>1.2437111049387812</v>
      </c>
    </row>
    <row r="98" spans="1:10" ht="15.75" thickBot="1" x14ac:dyDescent="0.3"/>
    <row r="99" spans="1:10" x14ac:dyDescent="0.25">
      <c r="A99" s="175" t="s">
        <v>193</v>
      </c>
      <c r="B99" s="176"/>
      <c r="C99" s="176" t="s">
        <v>187</v>
      </c>
      <c r="D99" s="176"/>
      <c r="E99" s="176"/>
      <c r="F99" s="156" t="s">
        <v>222</v>
      </c>
      <c r="G99" s="157"/>
      <c r="H99" s="158"/>
      <c r="I99" s="1" t="s">
        <v>4</v>
      </c>
      <c r="J99" s="2" t="s">
        <v>4</v>
      </c>
    </row>
    <row r="100" spans="1:10" ht="15" customHeight="1" x14ac:dyDescent="0.25">
      <c r="A100" s="169" t="s">
        <v>151</v>
      </c>
      <c r="B100" s="170"/>
      <c r="C100" s="159" t="s">
        <v>2</v>
      </c>
      <c r="D100" s="160" t="s">
        <v>206</v>
      </c>
      <c r="E100" s="160" t="s">
        <v>3</v>
      </c>
      <c r="F100" s="159" t="s">
        <v>2</v>
      </c>
      <c r="G100" s="159" t="s">
        <v>205</v>
      </c>
      <c r="H100" s="160" t="s">
        <v>206</v>
      </c>
      <c r="I100" s="161" t="s">
        <v>215</v>
      </c>
      <c r="J100" s="164" t="s">
        <v>216</v>
      </c>
    </row>
    <row r="101" spans="1:10" x14ac:dyDescent="0.25">
      <c r="A101" s="169" t="s">
        <v>135</v>
      </c>
      <c r="B101" s="170"/>
      <c r="C101" s="159"/>
      <c r="D101" s="160"/>
      <c r="E101" s="160"/>
      <c r="F101" s="159"/>
      <c r="G101" s="159"/>
      <c r="H101" s="160"/>
      <c r="I101" s="162"/>
      <c r="J101" s="165"/>
    </row>
    <row r="102" spans="1:10" ht="21" customHeight="1" x14ac:dyDescent="0.25">
      <c r="A102" s="167"/>
      <c r="B102" s="168"/>
      <c r="C102" s="69">
        <v>1</v>
      </c>
      <c r="D102" s="70">
        <v>2</v>
      </c>
      <c r="E102" s="70">
        <v>3</v>
      </c>
      <c r="F102" s="70">
        <v>4</v>
      </c>
      <c r="G102" s="69">
        <v>5</v>
      </c>
      <c r="H102" s="70">
        <v>6</v>
      </c>
      <c r="I102" s="163"/>
      <c r="J102" s="166"/>
    </row>
    <row r="103" spans="1:10" x14ac:dyDescent="0.25">
      <c r="A103" s="219" t="s">
        <v>152</v>
      </c>
      <c r="B103" s="220"/>
      <c r="C103" s="47">
        <f t="shared" ref="C103:E103" si="67">SUM(C104:C108)</f>
        <v>33000</v>
      </c>
      <c r="D103" s="47">
        <f t="shared" si="67"/>
        <v>143324</v>
      </c>
      <c r="E103" s="47">
        <f t="shared" si="67"/>
        <v>143500</v>
      </c>
      <c r="F103" s="47">
        <f t="shared" ref="F103:H103" si="68">SUM(F104:F108)</f>
        <v>23350</v>
      </c>
      <c r="G103" s="47">
        <f t="shared" si="68"/>
        <v>143860</v>
      </c>
      <c r="H103" s="47">
        <f t="shared" si="68"/>
        <v>167210</v>
      </c>
      <c r="I103" s="48">
        <f t="shared" ref="I103:I109" si="69">+H103/E103</f>
        <v>1.1652264808362369</v>
      </c>
      <c r="J103" s="49">
        <f>+H103/F103</f>
        <v>7.161027837259101</v>
      </c>
    </row>
    <row r="104" spans="1:10" x14ac:dyDescent="0.25">
      <c r="A104" s="12"/>
      <c r="B104" s="13" t="s">
        <v>179</v>
      </c>
      <c r="C104" s="14"/>
      <c r="D104" s="14">
        <v>91840</v>
      </c>
      <c r="E104" s="14">
        <v>91840</v>
      </c>
      <c r="F104" s="14"/>
      <c r="G104" s="14"/>
      <c r="H104" s="14">
        <f>+F104+G104</f>
        <v>0</v>
      </c>
      <c r="I104" s="16">
        <f t="shared" si="69"/>
        <v>0</v>
      </c>
      <c r="J104" s="54"/>
    </row>
    <row r="105" spans="1:10" x14ac:dyDescent="0.25">
      <c r="A105" s="12"/>
      <c r="B105" s="13" t="s">
        <v>217</v>
      </c>
      <c r="C105" s="14">
        <v>10000</v>
      </c>
      <c r="D105" s="14">
        <v>23660</v>
      </c>
      <c r="E105" s="14">
        <v>23836</v>
      </c>
      <c r="F105" s="14">
        <v>23350</v>
      </c>
      <c r="G105" s="14"/>
      <c r="H105" s="14">
        <f>+F105+G105</f>
        <v>23350</v>
      </c>
      <c r="I105" s="16">
        <f t="shared" si="69"/>
        <v>0.9796106729316999</v>
      </c>
      <c r="J105" s="54">
        <f>+H105/F105</f>
        <v>1</v>
      </c>
    </row>
    <row r="106" spans="1:10" x14ac:dyDescent="0.25">
      <c r="A106" s="58"/>
      <c r="B106" s="59" t="s">
        <v>156</v>
      </c>
      <c r="C106" s="57"/>
      <c r="D106" s="57">
        <v>3120</v>
      </c>
      <c r="E106" s="57">
        <v>3120</v>
      </c>
      <c r="F106" s="57"/>
      <c r="G106" s="57">
        <v>20701</v>
      </c>
      <c r="H106" s="14">
        <f t="shared" ref="H106:H107" si="70">+F106+G106</f>
        <v>20701</v>
      </c>
      <c r="I106" s="53">
        <f t="shared" si="69"/>
        <v>6.6349358974358976</v>
      </c>
      <c r="J106" s="54"/>
    </row>
    <row r="107" spans="1:10" ht="30" x14ac:dyDescent="0.25">
      <c r="A107" s="50"/>
      <c r="B107" s="51" t="s">
        <v>230</v>
      </c>
      <c r="C107" s="52">
        <f>3000+20000</f>
        <v>23000</v>
      </c>
      <c r="D107" s="52">
        <v>24704</v>
      </c>
      <c r="E107" s="52">
        <v>24704</v>
      </c>
      <c r="F107" s="52"/>
      <c r="G107" s="64">
        <f>120296+2863</f>
        <v>123159</v>
      </c>
      <c r="H107" s="14">
        <f t="shared" si="70"/>
        <v>123159</v>
      </c>
      <c r="I107" s="53">
        <f t="shared" si="69"/>
        <v>4.9853869818652852</v>
      </c>
      <c r="J107" s="54"/>
    </row>
    <row r="108" spans="1:10" ht="15.75" thickBot="1" x14ac:dyDescent="0.3">
      <c r="A108" s="58"/>
      <c r="B108" s="59"/>
      <c r="C108" s="57"/>
      <c r="D108" s="57"/>
      <c r="E108" s="57"/>
      <c r="F108" s="57"/>
      <c r="G108" s="57"/>
      <c r="H108" s="57"/>
      <c r="I108" s="53"/>
      <c r="J108" s="60"/>
    </row>
    <row r="109" spans="1:10" ht="30" customHeight="1" thickBot="1" x14ac:dyDescent="0.3">
      <c r="A109" s="221" t="s">
        <v>210</v>
      </c>
      <c r="B109" s="222"/>
      <c r="C109" s="61">
        <f>+C103</f>
        <v>33000</v>
      </c>
      <c r="D109" s="61">
        <f t="shared" ref="D109:H109" si="71">+D103</f>
        <v>143324</v>
      </c>
      <c r="E109" s="61">
        <f t="shared" si="71"/>
        <v>143500</v>
      </c>
      <c r="F109" s="61">
        <f t="shared" si="71"/>
        <v>23350</v>
      </c>
      <c r="G109" s="61">
        <f t="shared" si="71"/>
        <v>143860</v>
      </c>
      <c r="H109" s="61">
        <f t="shared" si="71"/>
        <v>167210</v>
      </c>
      <c r="I109" s="62">
        <f t="shared" si="69"/>
        <v>1.1652264808362369</v>
      </c>
      <c r="J109" s="63">
        <f>+H109/F109</f>
        <v>7.161027837259101</v>
      </c>
    </row>
    <row r="110" spans="1:10" ht="15.75" thickBot="1" x14ac:dyDescent="0.3"/>
    <row r="111" spans="1:10" x14ac:dyDescent="0.25">
      <c r="A111" s="175" t="s">
        <v>193</v>
      </c>
      <c r="B111" s="176"/>
      <c r="C111" s="176" t="s">
        <v>187</v>
      </c>
      <c r="D111" s="176"/>
      <c r="E111" s="176"/>
      <c r="F111" s="156" t="s">
        <v>222</v>
      </c>
      <c r="G111" s="157"/>
      <c r="H111" s="158"/>
      <c r="I111" s="1" t="s">
        <v>4</v>
      </c>
      <c r="J111" s="2" t="s">
        <v>4</v>
      </c>
    </row>
    <row r="112" spans="1:10" ht="15" customHeight="1" x14ac:dyDescent="0.25">
      <c r="A112" s="169" t="s">
        <v>153</v>
      </c>
      <c r="B112" s="170"/>
      <c r="C112" s="159" t="s">
        <v>2</v>
      </c>
      <c r="D112" s="160" t="s">
        <v>206</v>
      </c>
      <c r="E112" s="160" t="s">
        <v>3</v>
      </c>
      <c r="F112" s="159" t="s">
        <v>2</v>
      </c>
      <c r="G112" s="159" t="s">
        <v>205</v>
      </c>
      <c r="H112" s="160" t="s">
        <v>206</v>
      </c>
      <c r="I112" s="161" t="s">
        <v>215</v>
      </c>
      <c r="J112" s="164" t="s">
        <v>216</v>
      </c>
    </row>
    <row r="113" spans="1:10" x14ac:dyDescent="0.25">
      <c r="A113" s="169" t="s">
        <v>135</v>
      </c>
      <c r="B113" s="170"/>
      <c r="C113" s="159"/>
      <c r="D113" s="160"/>
      <c r="E113" s="160"/>
      <c r="F113" s="159"/>
      <c r="G113" s="159"/>
      <c r="H113" s="160"/>
      <c r="I113" s="162"/>
      <c r="J113" s="165"/>
    </row>
    <row r="114" spans="1:10" ht="21.75" customHeight="1" x14ac:dyDescent="0.25">
      <c r="A114" s="167"/>
      <c r="B114" s="168"/>
      <c r="C114" s="69">
        <v>1</v>
      </c>
      <c r="D114" s="70">
        <v>2</v>
      </c>
      <c r="E114" s="70">
        <v>3</v>
      </c>
      <c r="F114" s="70">
        <v>4</v>
      </c>
      <c r="G114" s="69">
        <v>5</v>
      </c>
      <c r="H114" s="70">
        <v>6</v>
      </c>
      <c r="I114" s="163"/>
      <c r="J114" s="166"/>
    </row>
    <row r="115" spans="1:10" x14ac:dyDescent="0.25">
      <c r="A115" s="219" t="s">
        <v>155</v>
      </c>
      <c r="B115" s="220"/>
      <c r="C115" s="47">
        <f t="shared" ref="C115:E115" si="72">SUM(C116:C118)</f>
        <v>579994</v>
      </c>
      <c r="D115" s="47">
        <f t="shared" si="72"/>
        <v>685099</v>
      </c>
      <c r="E115" s="47">
        <f t="shared" si="72"/>
        <v>685098</v>
      </c>
      <c r="F115" s="47">
        <f t="shared" ref="F115:H115" si="73">SUM(F116:F118)</f>
        <v>216228</v>
      </c>
      <c r="G115" s="47">
        <f t="shared" si="73"/>
        <v>551834</v>
      </c>
      <c r="H115" s="47">
        <f t="shared" si="73"/>
        <v>768062</v>
      </c>
      <c r="I115" s="48">
        <f t="shared" ref="I115:I119" si="74">+H115/E115</f>
        <v>1.1210980034973099</v>
      </c>
      <c r="J115" s="49">
        <f>+H115/F115</f>
        <v>3.5520931609227295</v>
      </c>
    </row>
    <row r="116" spans="1:10" x14ac:dyDescent="0.25">
      <c r="A116" s="12"/>
      <c r="B116" s="13" t="s">
        <v>154</v>
      </c>
      <c r="C116" s="14">
        <v>63793</v>
      </c>
      <c r="D116" s="14">
        <v>144887</v>
      </c>
      <c r="E116" s="14">
        <v>144886</v>
      </c>
      <c r="F116" s="14"/>
      <c r="G116" s="14">
        <f>250000+201822</f>
        <v>451822</v>
      </c>
      <c r="H116" s="14">
        <f>+F116+G116</f>
        <v>451822</v>
      </c>
      <c r="I116" s="16">
        <f t="shared" si="74"/>
        <v>3.1184655522272684</v>
      </c>
      <c r="J116" s="54"/>
    </row>
    <row r="117" spans="1:10" x14ac:dyDescent="0.25">
      <c r="A117" s="50"/>
      <c r="B117" s="56" t="s">
        <v>231</v>
      </c>
      <c r="C117" s="52">
        <v>516201</v>
      </c>
      <c r="D117" s="52">
        <v>540212</v>
      </c>
      <c r="E117" s="52">
        <v>540212</v>
      </c>
      <c r="F117" s="52">
        <v>216228</v>
      </c>
      <c r="G117" s="52">
        <f>8165+91840+7</f>
        <v>100012</v>
      </c>
      <c r="H117" s="14">
        <f>+F117+G117</f>
        <v>316240</v>
      </c>
      <c r="I117" s="53">
        <f t="shared" si="74"/>
        <v>0.58539980600208807</v>
      </c>
      <c r="J117" s="54">
        <f>+H117/F117</f>
        <v>1.4625302920990806</v>
      </c>
    </row>
    <row r="118" spans="1:10" ht="15.75" thickBot="1" x14ac:dyDescent="0.3">
      <c r="A118" s="58"/>
      <c r="B118" s="59"/>
      <c r="C118" s="57"/>
      <c r="D118" s="57"/>
      <c r="E118" s="57"/>
      <c r="F118" s="57"/>
      <c r="G118" s="57"/>
      <c r="H118" s="57"/>
      <c r="I118" s="53"/>
      <c r="J118" s="60"/>
    </row>
    <row r="119" spans="1:10" ht="15.75" thickBot="1" x14ac:dyDescent="0.3">
      <c r="A119" s="245" t="s">
        <v>211</v>
      </c>
      <c r="B119" s="246"/>
      <c r="C119" s="61">
        <f>+C115</f>
        <v>579994</v>
      </c>
      <c r="D119" s="61">
        <f t="shared" ref="D119:H119" si="75">+D115</f>
        <v>685099</v>
      </c>
      <c r="E119" s="61">
        <f t="shared" si="75"/>
        <v>685098</v>
      </c>
      <c r="F119" s="61">
        <f t="shared" si="75"/>
        <v>216228</v>
      </c>
      <c r="G119" s="61">
        <f t="shared" si="75"/>
        <v>551834</v>
      </c>
      <c r="H119" s="61">
        <f t="shared" si="75"/>
        <v>768062</v>
      </c>
      <c r="I119" s="62">
        <f t="shared" si="74"/>
        <v>1.1210980034973099</v>
      </c>
      <c r="J119" s="63">
        <f>+H119/F119</f>
        <v>3.5520931609227295</v>
      </c>
    </row>
    <row r="120" spans="1:10" ht="15.75" thickBot="1" x14ac:dyDescent="0.3"/>
    <row r="121" spans="1:10" s="68" customFormat="1" ht="15.75" thickBot="1" x14ac:dyDescent="0.3">
      <c r="A121" s="239" t="s">
        <v>181</v>
      </c>
      <c r="B121" s="240"/>
      <c r="C121" s="65">
        <f>+C97+C109+C119</f>
        <v>1744489</v>
      </c>
      <c r="D121" s="65">
        <f t="shared" ref="D121:H121" si="76">+D97+D109+D119</f>
        <v>2278769</v>
      </c>
      <c r="E121" s="65">
        <f t="shared" si="76"/>
        <v>2383782</v>
      </c>
      <c r="F121" s="65">
        <f t="shared" si="76"/>
        <v>1438477</v>
      </c>
      <c r="G121" s="65">
        <f t="shared" si="76"/>
        <v>987879</v>
      </c>
      <c r="H121" s="65">
        <f t="shared" si="76"/>
        <v>2426356</v>
      </c>
      <c r="I121" s="66">
        <f t="shared" ref="I121" si="77">+H121/E121</f>
        <v>1.0178598546343582</v>
      </c>
      <c r="J121" s="67">
        <f>+H121/F121</f>
        <v>1.6867534204578871</v>
      </c>
    </row>
  </sheetData>
  <mergeCells count="127">
    <mergeCell ref="I100:I102"/>
    <mergeCell ref="J100:J102"/>
    <mergeCell ref="A114:B114"/>
    <mergeCell ref="I112:I114"/>
    <mergeCell ref="J112:J114"/>
    <mergeCell ref="A78:B78"/>
    <mergeCell ref="A80:B80"/>
    <mergeCell ref="A81:B81"/>
    <mergeCell ref="A82:B82"/>
    <mergeCell ref="A89:B89"/>
    <mergeCell ref="A91:B91"/>
    <mergeCell ref="A97:B97"/>
    <mergeCell ref="A87:B87"/>
    <mergeCell ref="C87:E87"/>
    <mergeCell ref="A88:B88"/>
    <mergeCell ref="C88:C89"/>
    <mergeCell ref="D88:D89"/>
    <mergeCell ref="E88:E89"/>
    <mergeCell ref="F88:F89"/>
    <mergeCell ref="G88:G89"/>
    <mergeCell ref="H88:H89"/>
    <mergeCell ref="A79:B79"/>
    <mergeCell ref="I77:I79"/>
    <mergeCell ref="J77:J79"/>
    <mergeCell ref="A90:B90"/>
    <mergeCell ref="I88:I90"/>
    <mergeCell ref="J88:J90"/>
    <mergeCell ref="A77:B77"/>
    <mergeCell ref="C77:C78"/>
    <mergeCell ref="D77:D78"/>
    <mergeCell ref="E77:E78"/>
    <mergeCell ref="F77:F78"/>
    <mergeCell ref="G77:G78"/>
    <mergeCell ref="F76:H76"/>
    <mergeCell ref="A121:B121"/>
    <mergeCell ref="A83:B83"/>
    <mergeCell ref="A84:B84"/>
    <mergeCell ref="A85:B85"/>
    <mergeCell ref="H77:H78"/>
    <mergeCell ref="A102:B102"/>
    <mergeCell ref="G60:G61"/>
    <mergeCell ref="H60:H61"/>
    <mergeCell ref="A61:B61"/>
    <mergeCell ref="F60:F61"/>
    <mergeCell ref="A100:B100"/>
    <mergeCell ref="C100:C101"/>
    <mergeCell ref="D100:D101"/>
    <mergeCell ref="E100:E101"/>
    <mergeCell ref="F100:F101"/>
    <mergeCell ref="G100:G101"/>
    <mergeCell ref="H100:H101"/>
    <mergeCell ref="F87:H87"/>
    <mergeCell ref="F99:H99"/>
    <mergeCell ref="F111:H111"/>
    <mergeCell ref="A115:B115"/>
    <mergeCell ref="A119:B119"/>
    <mergeCell ref="G112:G113"/>
    <mergeCell ref="F59:H59"/>
    <mergeCell ref="A70:B70"/>
    <mergeCell ref="A76:B76"/>
    <mergeCell ref="C76:E76"/>
    <mergeCell ref="A62:B62"/>
    <mergeCell ref="I60:I62"/>
    <mergeCell ref="J60:J62"/>
    <mergeCell ref="A32:B32"/>
    <mergeCell ref="A34:B34"/>
    <mergeCell ref="A43:B43"/>
    <mergeCell ref="A48:B48"/>
    <mergeCell ref="A63:B63"/>
    <mergeCell ref="A52:B52"/>
    <mergeCell ref="A55:B55"/>
    <mergeCell ref="A59:B59"/>
    <mergeCell ref="C59:E59"/>
    <mergeCell ref="A60:B60"/>
    <mergeCell ref="C60:C61"/>
    <mergeCell ref="D60:D61"/>
    <mergeCell ref="E60:E61"/>
    <mergeCell ref="A33:B33"/>
    <mergeCell ref="C31:C32"/>
    <mergeCell ref="D31:D32"/>
    <mergeCell ref="E31:E32"/>
    <mergeCell ref="F31:F32"/>
    <mergeCell ref="G31:G32"/>
    <mergeCell ref="H31:H32"/>
    <mergeCell ref="F30:H30"/>
    <mergeCell ref="I31:I33"/>
    <mergeCell ref="J31:J33"/>
    <mergeCell ref="A3:B3"/>
    <mergeCell ref="A5:B5"/>
    <mergeCell ref="A6:B6"/>
    <mergeCell ref="A10:B10"/>
    <mergeCell ref="A15:B15"/>
    <mergeCell ref="A16:B16"/>
    <mergeCell ref="A19:B19"/>
    <mergeCell ref="A23:B23"/>
    <mergeCell ref="A4:B4"/>
    <mergeCell ref="I2:I4"/>
    <mergeCell ref="J2:J4"/>
    <mergeCell ref="A28:B28"/>
    <mergeCell ref="A27:B27"/>
    <mergeCell ref="A30:B30"/>
    <mergeCell ref="C30:E30"/>
    <mergeCell ref="A31:B31"/>
    <mergeCell ref="A1:B1"/>
    <mergeCell ref="C1:E1"/>
    <mergeCell ref="A2:B2"/>
    <mergeCell ref="C2:C3"/>
    <mergeCell ref="D2:D3"/>
    <mergeCell ref="E2:E3"/>
    <mergeCell ref="F2:F3"/>
    <mergeCell ref="G2:G3"/>
    <mergeCell ref="H2:H3"/>
    <mergeCell ref="F1:H1"/>
    <mergeCell ref="A99:B99"/>
    <mergeCell ref="C99:E99"/>
    <mergeCell ref="H112:H113"/>
    <mergeCell ref="A113:B113"/>
    <mergeCell ref="A112:B112"/>
    <mergeCell ref="C112:C113"/>
    <mergeCell ref="D112:D113"/>
    <mergeCell ref="E112:E113"/>
    <mergeCell ref="F112:F113"/>
    <mergeCell ref="A101:B101"/>
    <mergeCell ref="A103:B103"/>
    <mergeCell ref="A109:B109"/>
    <mergeCell ref="A111:B111"/>
    <mergeCell ref="C111:E1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headerFooter>
    <oddHeader>&amp;L&amp;"-,Félkövér"&amp;12MARTONVÁSÁR VÁROS ÖNKORMÁNYZATA&amp;C&amp;"-,Félkövér"&amp;14... számú határozat 1. számú melléklete&amp;R&amp;"-,Félkövér"&amp;12Bevételek</oddHeader>
    <oddFooter>&amp;R&amp;P</oddFooter>
  </headerFooter>
  <rowBreaks count="1" manualBreakCount="1">
    <brk id="8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Kiadások</vt:lpstr>
      <vt:lpstr>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2021-11-29T14:36:57Z</cp:lastPrinted>
  <dcterms:created xsi:type="dcterms:W3CDTF">2020-12-11T13:32:47Z</dcterms:created>
  <dcterms:modified xsi:type="dcterms:W3CDTF">2022-06-15T13:51:49Z</dcterms:modified>
</cp:coreProperties>
</file>