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:\2023\KT\20230926\"/>
    </mc:Choice>
  </mc:AlternateContent>
  <xr:revisionPtr revIDLastSave="0" documentId="8_{22240406-1082-4B9D-807E-FE9C74F8F1BD}" xr6:coauthVersionLast="36" xr6:coauthVersionMax="36" xr10:uidLastSave="{00000000-0000-0000-0000-000000000000}"/>
  <bookViews>
    <workbookView xWindow="0" yWindow="0" windowWidth="33600" windowHeight="21000" activeTab="2" xr2:uid="{00000000-000D-0000-FFFF-FFFF00000000}"/>
  </bookViews>
  <sheets>
    <sheet name="Eredeti Terv 23" sheetId="4" r:id="rId1"/>
    <sheet name="KV MÓD I. 23" sheetId="5" r:id="rId2"/>
    <sheet name="KV MÓD II. 23" sheetId="6" r:id="rId3"/>
  </sheets>
  <definedNames>
    <definedName name="_xlnm.Print_Area" localSheetId="0">'Eredeti Terv 23'!$A$1:$K$127</definedName>
    <definedName name="_xlnm.Print_Area" localSheetId="1">'KV MÓD I. 23'!$A$1:$K$129</definedName>
    <definedName name="_xlnm.Print_Area" localSheetId="2">'KV MÓD II. 23'!$A$1:$K$129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2" i="5"/>
  <c r="F67" i="6" l="1"/>
  <c r="H53" i="6"/>
  <c r="D67" i="6"/>
  <c r="H39" i="6"/>
  <c r="H33" i="6"/>
  <c r="C33" i="6"/>
  <c r="F73" i="6"/>
  <c r="G67" i="6" l="1"/>
  <c r="F72" i="6"/>
  <c r="D70" i="6"/>
  <c r="H10" i="6"/>
  <c r="D10" i="6"/>
  <c r="I42" i="6"/>
  <c r="G42" i="6" s="1"/>
  <c r="F42" i="6" s="1"/>
  <c r="G76" i="6"/>
  <c r="H9" i="6"/>
  <c r="G9" i="6" s="1"/>
  <c r="D9" i="6"/>
  <c r="D8" i="6" s="1"/>
  <c r="D101" i="6"/>
  <c r="G86" i="6"/>
  <c r="J86" i="6" s="1"/>
  <c r="G85" i="6"/>
  <c r="J85" i="6" s="1"/>
  <c r="G84" i="6"/>
  <c r="J84" i="6" s="1"/>
  <c r="G83" i="6"/>
  <c r="J83" i="6" s="1"/>
  <c r="J82" i="6"/>
  <c r="G82" i="6"/>
  <c r="G81" i="6"/>
  <c r="J81" i="6" s="1"/>
  <c r="G80" i="6"/>
  <c r="J80" i="6" s="1"/>
  <c r="G79" i="6"/>
  <c r="J79" i="6" s="1"/>
  <c r="G78" i="6"/>
  <c r="J78" i="6" s="1"/>
  <c r="I77" i="6"/>
  <c r="H77" i="6"/>
  <c r="F77" i="6"/>
  <c r="D77" i="6"/>
  <c r="C77" i="6"/>
  <c r="G77" i="6" s="1"/>
  <c r="G75" i="6"/>
  <c r="G74" i="6"/>
  <c r="D72" i="6"/>
  <c r="C72" i="6"/>
  <c r="C70" i="6"/>
  <c r="C69" i="6"/>
  <c r="G69" i="6" s="1"/>
  <c r="D68" i="6"/>
  <c r="G68" i="6" s="1"/>
  <c r="G61" i="6"/>
  <c r="F61" i="6" s="1"/>
  <c r="G60" i="6"/>
  <c r="F60" i="6" s="1"/>
  <c r="G59" i="6"/>
  <c r="F59" i="6" s="1"/>
  <c r="G58" i="6"/>
  <c r="F58" i="6" s="1"/>
  <c r="J57" i="6"/>
  <c r="I57" i="6"/>
  <c r="H57" i="6"/>
  <c r="D57" i="6"/>
  <c r="C57" i="6"/>
  <c r="G56" i="6"/>
  <c r="F56" i="6"/>
  <c r="H55" i="6"/>
  <c r="G55" i="6" s="1"/>
  <c r="F55" i="6" s="1"/>
  <c r="G54" i="6"/>
  <c r="F54" i="6" s="1"/>
  <c r="G53" i="6"/>
  <c r="F53" i="6" s="1"/>
  <c r="E99" i="6" s="1"/>
  <c r="F99" i="6" s="1"/>
  <c r="J52" i="6"/>
  <c r="I52" i="6"/>
  <c r="D52" i="6"/>
  <c r="C52" i="6"/>
  <c r="G44" i="6"/>
  <c r="F44" i="6" s="1"/>
  <c r="G43" i="6"/>
  <c r="F43" i="6" s="1"/>
  <c r="G41" i="6"/>
  <c r="C41" i="6"/>
  <c r="C40" i="6" s="1"/>
  <c r="J40" i="6"/>
  <c r="H40" i="6"/>
  <c r="D40" i="6"/>
  <c r="H35" i="6"/>
  <c r="G38" i="6"/>
  <c r="F38" i="6"/>
  <c r="G37" i="6"/>
  <c r="F37" i="6" s="1"/>
  <c r="G36" i="6"/>
  <c r="F36" i="6"/>
  <c r="J35" i="6"/>
  <c r="I35" i="6"/>
  <c r="D35" i="6"/>
  <c r="C35" i="6"/>
  <c r="G34" i="6"/>
  <c r="F34" i="6" s="1"/>
  <c r="G33" i="6"/>
  <c r="F33" i="6" s="1"/>
  <c r="G32" i="6"/>
  <c r="H31" i="6"/>
  <c r="G31" i="6"/>
  <c r="F31" i="6" s="1"/>
  <c r="J30" i="6"/>
  <c r="I30" i="6"/>
  <c r="D30" i="6"/>
  <c r="C30" i="6"/>
  <c r="G29" i="6"/>
  <c r="F29" i="6"/>
  <c r="G28" i="6"/>
  <c r="F28" i="6"/>
  <c r="G27" i="6"/>
  <c r="F27" i="6"/>
  <c r="J26" i="6"/>
  <c r="I26" i="6"/>
  <c r="G26" i="6" s="1"/>
  <c r="F26" i="6" s="1"/>
  <c r="H26" i="6"/>
  <c r="D26" i="6"/>
  <c r="C26" i="6"/>
  <c r="G25" i="6"/>
  <c r="F25" i="6" s="1"/>
  <c r="J24" i="6"/>
  <c r="I24" i="6"/>
  <c r="I20" i="6" s="1"/>
  <c r="G24" i="6"/>
  <c r="F24" i="6" s="1"/>
  <c r="G23" i="6"/>
  <c r="F23" i="6" s="1"/>
  <c r="G22" i="6"/>
  <c r="F22" i="6" s="1"/>
  <c r="G21" i="6"/>
  <c r="F21" i="6" s="1"/>
  <c r="J20" i="6"/>
  <c r="H20" i="6"/>
  <c r="D20" i="6"/>
  <c r="C20" i="6"/>
  <c r="G19" i="6"/>
  <c r="F19" i="6"/>
  <c r="G18" i="6"/>
  <c r="D18" i="6"/>
  <c r="D15" i="6" s="1"/>
  <c r="C18" i="6"/>
  <c r="G17" i="6"/>
  <c r="C17" i="6"/>
  <c r="F17" i="6" s="1"/>
  <c r="I16" i="6"/>
  <c r="H16" i="6"/>
  <c r="H15" i="6" s="1"/>
  <c r="C16" i="6"/>
  <c r="J15" i="6"/>
  <c r="H14" i="6"/>
  <c r="G14" i="6" s="1"/>
  <c r="F14" i="6" s="1"/>
  <c r="H13" i="6"/>
  <c r="H11" i="6" s="1"/>
  <c r="G11" i="6" s="1"/>
  <c r="G13" i="6"/>
  <c r="D13" i="6"/>
  <c r="G12" i="6"/>
  <c r="D12" i="6"/>
  <c r="J11" i="6"/>
  <c r="I11" i="6"/>
  <c r="D11" i="6"/>
  <c r="C11" i="6"/>
  <c r="G10" i="6"/>
  <c r="C9" i="6"/>
  <c r="J8" i="6"/>
  <c r="I8" i="6"/>
  <c r="H8" i="6"/>
  <c r="G8" i="6" s="1"/>
  <c r="C8" i="6"/>
  <c r="D66" i="6" l="1"/>
  <c r="C15" i="6"/>
  <c r="G72" i="6"/>
  <c r="F12" i="6"/>
  <c r="G20" i="6"/>
  <c r="I40" i="6"/>
  <c r="G40" i="6" s="1"/>
  <c r="F10" i="6"/>
  <c r="G16" i="6"/>
  <c r="F16" i="6" s="1"/>
  <c r="E95" i="6" s="1"/>
  <c r="F95" i="6" s="1"/>
  <c r="F18" i="6"/>
  <c r="G35" i="6"/>
  <c r="J62" i="6"/>
  <c r="C66" i="6"/>
  <c r="F41" i="6"/>
  <c r="C62" i="6"/>
  <c r="F9" i="6"/>
  <c r="E110" i="6"/>
  <c r="F40" i="6"/>
  <c r="D62" i="6"/>
  <c r="J77" i="6"/>
  <c r="F8" i="6"/>
  <c r="E103" i="6"/>
  <c r="E104" i="6"/>
  <c r="F11" i="6"/>
  <c r="I62" i="6"/>
  <c r="G89" i="6"/>
  <c r="I111" i="6"/>
  <c r="G90" i="6"/>
  <c r="I112" i="6"/>
  <c r="E106" i="6"/>
  <c r="F20" i="6"/>
  <c r="E109" i="6"/>
  <c r="F35" i="6"/>
  <c r="G39" i="6"/>
  <c r="F39" i="6" s="1"/>
  <c r="E107" i="6"/>
  <c r="I15" i="6"/>
  <c r="G15" i="6" s="1"/>
  <c r="H30" i="6"/>
  <c r="G30" i="6" s="1"/>
  <c r="G73" i="6"/>
  <c r="H52" i="6"/>
  <c r="G52" i="6" s="1"/>
  <c r="G57" i="6"/>
  <c r="F77" i="5"/>
  <c r="C69" i="5"/>
  <c r="C18" i="5"/>
  <c r="C17" i="5"/>
  <c r="C70" i="5"/>
  <c r="D70" i="5"/>
  <c r="E96" i="6" l="1"/>
  <c r="F96" i="6" s="1"/>
  <c r="G95" i="6" s="1"/>
  <c r="I90" i="6" s="1"/>
  <c r="E105" i="6"/>
  <c r="F15" i="6"/>
  <c r="E111" i="6"/>
  <c r="F52" i="6"/>
  <c r="E108" i="6"/>
  <c r="F30" i="6"/>
  <c r="G62" i="6"/>
  <c r="F57" i="6"/>
  <c r="E112" i="6"/>
  <c r="H62" i="6"/>
  <c r="D12" i="5"/>
  <c r="H14" i="5"/>
  <c r="F73" i="5"/>
  <c r="F67" i="5"/>
  <c r="G78" i="5"/>
  <c r="J78" i="5" s="1"/>
  <c r="H55" i="5"/>
  <c r="H53" i="5"/>
  <c r="H31" i="5"/>
  <c r="J83" i="5"/>
  <c r="J84" i="5"/>
  <c r="G83" i="5"/>
  <c r="G84" i="5"/>
  <c r="E113" i="6" l="1"/>
  <c r="I109" i="6" s="1"/>
  <c r="F70" i="6"/>
  <c r="F66" i="6"/>
  <c r="G87" i="6"/>
  <c r="F62" i="6"/>
  <c r="G63" i="6" s="1"/>
  <c r="G82" i="5"/>
  <c r="J82" i="5" s="1"/>
  <c r="H13" i="5"/>
  <c r="H16" i="5"/>
  <c r="H9" i="5"/>
  <c r="D9" i="5"/>
  <c r="G67" i="5"/>
  <c r="H33" i="5"/>
  <c r="C33" i="5"/>
  <c r="C16" i="5"/>
  <c r="C9" i="5"/>
  <c r="G70" i="6" l="1"/>
  <c r="G66" i="6" s="1"/>
  <c r="D101" i="5"/>
  <c r="G86" i="5"/>
  <c r="J86" i="5" s="1"/>
  <c r="J85" i="5"/>
  <c r="G85" i="5"/>
  <c r="G81" i="5"/>
  <c r="J81" i="5" s="1"/>
  <c r="G80" i="5"/>
  <c r="J80" i="5" s="1"/>
  <c r="G79" i="5"/>
  <c r="J79" i="5" s="1"/>
  <c r="I77" i="5"/>
  <c r="H77" i="5"/>
  <c r="D77" i="5"/>
  <c r="C77" i="5"/>
  <c r="G76" i="5"/>
  <c r="G75" i="5"/>
  <c r="G74" i="5"/>
  <c r="G73" i="5"/>
  <c r="F72" i="5"/>
  <c r="D72" i="5"/>
  <c r="C72" i="5"/>
  <c r="G69" i="5"/>
  <c r="D68" i="5"/>
  <c r="G68" i="5" s="1"/>
  <c r="D66" i="5"/>
  <c r="C66" i="5"/>
  <c r="G61" i="5"/>
  <c r="F61" i="5" s="1"/>
  <c r="G60" i="5"/>
  <c r="F60" i="5" s="1"/>
  <c r="G59" i="5"/>
  <c r="F59" i="5" s="1"/>
  <c r="G58" i="5"/>
  <c r="F58" i="5" s="1"/>
  <c r="J57" i="5"/>
  <c r="I57" i="5"/>
  <c r="H57" i="5"/>
  <c r="D57" i="5"/>
  <c r="C57" i="5"/>
  <c r="G56" i="5"/>
  <c r="F56" i="5" s="1"/>
  <c r="G55" i="5"/>
  <c r="F55" i="5" s="1"/>
  <c r="G54" i="5"/>
  <c r="F54" i="5" s="1"/>
  <c r="G53" i="5"/>
  <c r="F53" i="5" s="1"/>
  <c r="E99" i="5" s="1"/>
  <c r="F99" i="5" s="1"/>
  <c r="J52" i="5"/>
  <c r="I52" i="5"/>
  <c r="H52" i="5"/>
  <c r="G52" i="5" s="1"/>
  <c r="E111" i="5" s="1"/>
  <c r="D52" i="5"/>
  <c r="C52" i="5"/>
  <c r="G44" i="5"/>
  <c r="F44" i="5" s="1"/>
  <c r="G43" i="5"/>
  <c r="F43" i="5" s="1"/>
  <c r="G42" i="5"/>
  <c r="F42" i="5" s="1"/>
  <c r="G41" i="5"/>
  <c r="C41" i="5"/>
  <c r="F41" i="5" s="1"/>
  <c r="J40" i="5"/>
  <c r="I40" i="5"/>
  <c r="G40" i="5" s="1"/>
  <c r="H40" i="5"/>
  <c r="D40" i="5"/>
  <c r="H39" i="5"/>
  <c r="G39" i="5" s="1"/>
  <c r="F39" i="5" s="1"/>
  <c r="G38" i="5"/>
  <c r="F38" i="5" s="1"/>
  <c r="G37" i="5"/>
  <c r="F37" i="5" s="1"/>
  <c r="G36" i="5"/>
  <c r="F36" i="5"/>
  <c r="J35" i="5"/>
  <c r="I35" i="5"/>
  <c r="D35" i="5"/>
  <c r="C35" i="5"/>
  <c r="G34" i="5"/>
  <c r="F34" i="5" s="1"/>
  <c r="G33" i="5"/>
  <c r="F33" i="5" s="1"/>
  <c r="G32" i="5"/>
  <c r="G31" i="5"/>
  <c r="F31" i="5" s="1"/>
  <c r="J30" i="5"/>
  <c r="I30" i="5"/>
  <c r="H30" i="5"/>
  <c r="D30" i="5"/>
  <c r="C30" i="5"/>
  <c r="G29" i="5"/>
  <c r="F29" i="5" s="1"/>
  <c r="G28" i="5"/>
  <c r="F28" i="5"/>
  <c r="G27" i="5"/>
  <c r="F27" i="5" s="1"/>
  <c r="J26" i="5"/>
  <c r="I26" i="5"/>
  <c r="H26" i="5"/>
  <c r="G26" i="5" s="1"/>
  <c r="D26" i="5"/>
  <c r="C26" i="5"/>
  <c r="G25" i="5"/>
  <c r="F25" i="5" s="1"/>
  <c r="J24" i="5"/>
  <c r="J20" i="5" s="1"/>
  <c r="I24" i="5"/>
  <c r="G24" i="5" s="1"/>
  <c r="F24" i="5" s="1"/>
  <c r="G23" i="5"/>
  <c r="F23" i="5" s="1"/>
  <c r="G22" i="5"/>
  <c r="F22" i="5" s="1"/>
  <c r="G21" i="5"/>
  <c r="F21" i="5"/>
  <c r="H20" i="5"/>
  <c r="D20" i="5"/>
  <c r="C20" i="5"/>
  <c r="G19" i="5"/>
  <c r="F19" i="5" s="1"/>
  <c r="G18" i="5"/>
  <c r="D18" i="5"/>
  <c r="G17" i="5"/>
  <c r="F17" i="5" s="1"/>
  <c r="I16" i="5"/>
  <c r="I15" i="5" s="1"/>
  <c r="J15" i="5"/>
  <c r="H15" i="5"/>
  <c r="C15" i="5"/>
  <c r="G14" i="5"/>
  <c r="F14" i="5" s="1"/>
  <c r="G13" i="5"/>
  <c r="D13" i="5"/>
  <c r="D11" i="5" s="1"/>
  <c r="G12" i="5"/>
  <c r="J11" i="5"/>
  <c r="I11" i="5"/>
  <c r="C11" i="5"/>
  <c r="H10" i="5"/>
  <c r="H8" i="5" s="1"/>
  <c r="G10" i="5"/>
  <c r="F10" i="5" s="1"/>
  <c r="D10" i="5"/>
  <c r="G9" i="5"/>
  <c r="F9" i="5" s="1"/>
  <c r="J8" i="5"/>
  <c r="I8" i="5"/>
  <c r="D8" i="5"/>
  <c r="C8" i="5"/>
  <c r="G8" i="5" l="1"/>
  <c r="F12" i="5"/>
  <c r="G16" i="5"/>
  <c r="F16" i="5" s="1"/>
  <c r="G30" i="5"/>
  <c r="F30" i="5" s="1"/>
  <c r="G15" i="5"/>
  <c r="G72" i="5"/>
  <c r="J62" i="5"/>
  <c r="J77" i="5"/>
  <c r="I110" i="6"/>
  <c r="I113" i="6" s="1"/>
  <c r="G88" i="6"/>
  <c r="H87" i="6" s="1"/>
  <c r="G77" i="5"/>
  <c r="G90" i="5" s="1"/>
  <c r="F18" i="5"/>
  <c r="E95" i="5" s="1"/>
  <c r="F95" i="5" s="1"/>
  <c r="F26" i="5"/>
  <c r="E107" i="5"/>
  <c r="F40" i="5"/>
  <c r="F8" i="5"/>
  <c r="E103" i="5"/>
  <c r="G89" i="5"/>
  <c r="I111" i="5"/>
  <c r="E96" i="5"/>
  <c r="F96" i="5" s="1"/>
  <c r="E105" i="5"/>
  <c r="D15" i="5"/>
  <c r="D62" i="5" s="1"/>
  <c r="H35" i="5"/>
  <c r="G35" i="5" s="1"/>
  <c r="C40" i="5"/>
  <c r="C62" i="5" s="1"/>
  <c r="E110" i="5"/>
  <c r="H11" i="5"/>
  <c r="G11" i="5" s="1"/>
  <c r="I20" i="5"/>
  <c r="F52" i="5"/>
  <c r="G57" i="5"/>
  <c r="H12" i="4"/>
  <c r="H39" i="4"/>
  <c r="I24" i="4"/>
  <c r="H33" i="4"/>
  <c r="I16" i="4"/>
  <c r="E108" i="5" l="1"/>
  <c r="I112" i="5"/>
  <c r="F57" i="5"/>
  <c r="E112" i="5"/>
  <c r="F15" i="5"/>
  <c r="I62" i="5"/>
  <c r="G20" i="5"/>
  <c r="E109" i="5"/>
  <c r="F35" i="5"/>
  <c r="G95" i="5"/>
  <c r="E104" i="5"/>
  <c r="F11" i="5"/>
  <c r="H62" i="5"/>
  <c r="H10" i="4"/>
  <c r="D10" i="4"/>
  <c r="D18" i="4"/>
  <c r="F20" i="5" l="1"/>
  <c r="E106" i="5"/>
  <c r="E113" i="5" s="1"/>
  <c r="I109" i="5" s="1"/>
  <c r="I90" i="5"/>
  <c r="F70" i="5"/>
  <c r="G70" i="5" s="1"/>
  <c r="G62" i="5"/>
  <c r="D13" i="4"/>
  <c r="D68" i="4"/>
  <c r="G66" i="5" l="1"/>
  <c r="F66" i="5"/>
  <c r="G87" i="5"/>
  <c r="F62" i="5"/>
  <c r="G63" i="5" s="1"/>
  <c r="J24" i="4"/>
  <c r="G13" i="4"/>
  <c r="I110" i="5" l="1"/>
  <c r="I113" i="5" s="1"/>
  <c r="G88" i="5"/>
  <c r="H87" i="5" s="1"/>
  <c r="H31" i="4"/>
  <c r="C41" i="4"/>
  <c r="D70" i="4" l="1"/>
  <c r="G68" i="4" l="1"/>
  <c r="G75" i="4"/>
  <c r="G33" i="4"/>
  <c r="F33" i="4" s="1"/>
  <c r="G32" i="4"/>
  <c r="G23" i="4"/>
  <c r="F23" i="4" s="1"/>
  <c r="D99" i="4"/>
  <c r="H20" i="4"/>
  <c r="D9" i="4"/>
  <c r="D8" i="4" s="1"/>
  <c r="H77" i="4"/>
  <c r="F77" i="4"/>
  <c r="G78" i="4"/>
  <c r="J78" i="4" s="1"/>
  <c r="G79" i="4"/>
  <c r="J79" i="4" s="1"/>
  <c r="G80" i="4"/>
  <c r="J80" i="4" s="1"/>
  <c r="G83" i="4"/>
  <c r="J83" i="4" s="1"/>
  <c r="G84" i="4"/>
  <c r="J84" i="4" s="1"/>
  <c r="G76" i="4"/>
  <c r="C72" i="4"/>
  <c r="D72" i="4"/>
  <c r="G22" i="4"/>
  <c r="F22" i="4" s="1"/>
  <c r="G21" i="4"/>
  <c r="F21" i="4" s="1"/>
  <c r="G54" i="4"/>
  <c r="F54" i="4" s="1"/>
  <c r="C66" i="4"/>
  <c r="D11" i="4"/>
  <c r="C11" i="4"/>
  <c r="D66" i="4"/>
  <c r="C9" i="4"/>
  <c r="C8" i="4" s="1"/>
  <c r="D30" i="4"/>
  <c r="I77" i="4"/>
  <c r="D77" i="4"/>
  <c r="C77" i="4"/>
  <c r="I52" i="4"/>
  <c r="H52" i="4"/>
  <c r="G53" i="4"/>
  <c r="F53" i="4" s="1"/>
  <c r="D57" i="4"/>
  <c r="H57" i="4"/>
  <c r="C52" i="4"/>
  <c r="D52" i="4"/>
  <c r="G55" i="4"/>
  <c r="F55" i="4" s="1"/>
  <c r="G61" i="4"/>
  <c r="F61" i="4" s="1"/>
  <c r="G60" i="4"/>
  <c r="F60" i="4" s="1"/>
  <c r="G59" i="4"/>
  <c r="F59" i="4" s="1"/>
  <c r="G58" i="4"/>
  <c r="F58" i="4" s="1"/>
  <c r="J57" i="4"/>
  <c r="I57" i="4"/>
  <c r="C57" i="4"/>
  <c r="J52" i="4"/>
  <c r="G56" i="4"/>
  <c r="F56" i="4" s="1"/>
  <c r="C40" i="4"/>
  <c r="D40" i="4"/>
  <c r="C35" i="4"/>
  <c r="D35" i="4"/>
  <c r="C30" i="4"/>
  <c r="C26" i="4"/>
  <c r="D26" i="4"/>
  <c r="C20" i="4"/>
  <c r="D20" i="4"/>
  <c r="C15" i="4"/>
  <c r="D15" i="4"/>
  <c r="I40" i="4"/>
  <c r="J40" i="4"/>
  <c r="H40" i="4"/>
  <c r="I35" i="4"/>
  <c r="J35" i="4"/>
  <c r="H35" i="4"/>
  <c r="I30" i="4"/>
  <c r="J30" i="4"/>
  <c r="I26" i="4"/>
  <c r="J26" i="4"/>
  <c r="H26" i="4"/>
  <c r="I20" i="4"/>
  <c r="J20" i="4"/>
  <c r="I15" i="4"/>
  <c r="J15" i="4"/>
  <c r="H15" i="4"/>
  <c r="I11" i="4"/>
  <c r="J11" i="4"/>
  <c r="H11" i="4"/>
  <c r="I8" i="4"/>
  <c r="J8" i="4"/>
  <c r="H8" i="4"/>
  <c r="G43" i="4"/>
  <c r="F43" i="4" s="1"/>
  <c r="G44" i="4"/>
  <c r="F44" i="4" s="1"/>
  <c r="G42" i="4"/>
  <c r="F42" i="4" s="1"/>
  <c r="G41" i="4"/>
  <c r="F41" i="4" s="1"/>
  <c r="G39" i="4"/>
  <c r="F39" i="4" s="1"/>
  <c r="G38" i="4"/>
  <c r="F38" i="4" s="1"/>
  <c r="G37" i="4"/>
  <c r="F37" i="4" s="1"/>
  <c r="G36" i="4"/>
  <c r="F36" i="4" s="1"/>
  <c r="G34" i="4"/>
  <c r="F34" i="4" s="1"/>
  <c r="G31" i="4"/>
  <c r="G29" i="4"/>
  <c r="F29" i="4" s="1"/>
  <c r="G28" i="4"/>
  <c r="F28" i="4" s="1"/>
  <c r="G27" i="4"/>
  <c r="F27" i="4" s="1"/>
  <c r="G25" i="4"/>
  <c r="F25" i="4" s="1"/>
  <c r="G18" i="4"/>
  <c r="F18" i="4" s="1"/>
  <c r="G19" i="4"/>
  <c r="F19" i="4" s="1"/>
  <c r="G17" i="4"/>
  <c r="F17" i="4" s="1"/>
  <c r="G16" i="4"/>
  <c r="F16" i="4" s="1"/>
  <c r="G14" i="4"/>
  <c r="F14" i="4" s="1"/>
  <c r="G12" i="4"/>
  <c r="G10" i="4"/>
  <c r="F10" i="4" s="1"/>
  <c r="G9" i="4"/>
  <c r="F12" i="4" l="1"/>
  <c r="E93" i="4"/>
  <c r="H30" i="4"/>
  <c r="H62" i="4" s="1"/>
  <c r="G24" i="4"/>
  <c r="F24" i="4" s="1"/>
  <c r="G77" i="4"/>
  <c r="J77" i="4"/>
  <c r="E97" i="4"/>
  <c r="F97" i="4" s="1"/>
  <c r="F31" i="4"/>
  <c r="D62" i="4"/>
  <c r="J62" i="4"/>
  <c r="C62" i="4"/>
  <c r="I62" i="4"/>
  <c r="F9" i="4"/>
  <c r="G57" i="4"/>
  <c r="G11" i="4"/>
  <c r="G8" i="4"/>
  <c r="G52" i="4"/>
  <c r="G40" i="4"/>
  <c r="G26" i="4"/>
  <c r="G15" i="4"/>
  <c r="G35" i="4"/>
  <c r="G20" i="4"/>
  <c r="G30" i="4" l="1"/>
  <c r="E106" i="4" s="1"/>
  <c r="E94" i="4"/>
  <c r="I110" i="4"/>
  <c r="G88" i="4"/>
  <c r="F15" i="4"/>
  <c r="E103" i="4"/>
  <c r="F40" i="4"/>
  <c r="E108" i="4"/>
  <c r="F52" i="4"/>
  <c r="E109" i="4"/>
  <c r="F8" i="4"/>
  <c r="E101" i="4"/>
  <c r="F26" i="4"/>
  <c r="E105" i="4"/>
  <c r="F20" i="4"/>
  <c r="E104" i="4"/>
  <c r="F11" i="4"/>
  <c r="E102" i="4"/>
  <c r="F35" i="4"/>
  <c r="E107" i="4"/>
  <c r="E110" i="4"/>
  <c r="F30" i="4"/>
  <c r="F57" i="4"/>
  <c r="G62" i="4"/>
  <c r="G85" i="4" s="1"/>
  <c r="F94" i="4" l="1"/>
  <c r="F93" i="4"/>
  <c r="E111" i="4"/>
  <c r="I107" i="4" s="1"/>
  <c r="G93" i="4" l="1"/>
  <c r="F70" i="4" s="1"/>
  <c r="G70" i="4" s="1"/>
  <c r="I88" i="4" l="1"/>
  <c r="F62" i="4"/>
  <c r="G63" i="4" s="1"/>
  <c r="G67" i="4"/>
  <c r="G69" i="4"/>
  <c r="F72" i="4"/>
  <c r="G72" i="4" s="1"/>
  <c r="G73" i="4"/>
  <c r="G74" i="4"/>
  <c r="F66" i="4" l="1"/>
  <c r="I109" i="4"/>
  <c r="G87" i="4"/>
  <c r="G66" i="4"/>
  <c r="I108" i="4" l="1"/>
  <c r="I111" i="4" s="1"/>
  <c r="G86" i="4"/>
  <c r="H8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0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0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0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0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0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0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0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0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0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0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0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1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1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1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1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1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1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1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1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1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1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1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2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2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2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2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2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2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2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2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2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2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2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sharedStrings.xml><?xml version="1.0" encoding="utf-8"?>
<sst xmlns="http://schemas.openxmlformats.org/spreadsheetml/2006/main" count="667" uniqueCount="160">
  <si>
    <t>EGYÉB</t>
  </si>
  <si>
    <t>BEVÉTELEK</t>
  </si>
  <si>
    <r>
      <t>FEJEZET</t>
    </r>
    <r>
      <rPr>
        <sz val="10"/>
        <color theme="1"/>
        <rFont val="Arial"/>
        <family val="2"/>
      </rPr>
      <t> / FELADAT</t>
    </r>
  </si>
  <si>
    <t>ÁLLAMI TÁMOGATÁS </t>
  </si>
  <si>
    <t>ÖNK. ÉS SZERVEI</t>
  </si>
  <si>
    <t>MVK KIADÁSOK</t>
  </si>
  <si>
    <t>MVK-NAK ÁTADOTT/ SZÁMLÁS </t>
  </si>
  <si>
    <t>ÖNKORMÁNYZATI BEVÉTELEK</t>
  </si>
  <si>
    <t>ÖNKORMÁNYZATI KIADÁSOK</t>
  </si>
  <si>
    <t>Vállalkozói adók</t>
  </si>
  <si>
    <t>Lakossági adó</t>
  </si>
  <si>
    <t>I./ VÁROSIGAZGATÁS ÉS HELYI DEMOKRÁCIA</t>
  </si>
  <si>
    <t>II./ EGYÉB ÖNKORMÁNYZATI FELADATOK</t>
  </si>
  <si>
    <t>III./ OKTATÁS, NEVELÉS, GYERMEKÉTKEZTETÉS</t>
  </si>
  <si>
    <t>V./ KÖZLEKEDÉS, KÖZVILÁGÍTÁS</t>
  </si>
  <si>
    <t>VI./ SZOCIÁLIS ELLÁTÁS ÉS TÁMOGATÁS</t>
  </si>
  <si>
    <t>VII./ EGÉSZSÉGÜGYI ALAPELLÁTÁS</t>
  </si>
  <si>
    <t>VIII./ KULTÚRA</t>
  </si>
  <si>
    <t>IX./ CIVIL KÖZÖSSÉGEK, TÁMOGATÁSOK</t>
  </si>
  <si>
    <t>Egyéb</t>
  </si>
  <si>
    <t>FOGALOM-MEGHAT.</t>
  </si>
  <si>
    <t>EGYÉB, INTÉZMÉNYI</t>
  </si>
  <si>
    <t xml:space="preserve"> FELHASZNÁLT SAJÁT BEVÉTEL TÍPUSA</t>
  </si>
  <si>
    <t xml:space="preserve"> ÖSSZESEN</t>
  </si>
  <si>
    <t>ÖNKORMÁNYZATI "MŰKÖDÉSI KÖLTSÉGVETÉS" (EZER FT)</t>
  </si>
  <si>
    <t>Bölcsőde - RRF</t>
  </si>
  <si>
    <t>Csapadékvizes - TOP</t>
  </si>
  <si>
    <t>Vízhálózat - KEHOP</t>
  </si>
  <si>
    <t>Lakossági és Vállalkozói adók</t>
  </si>
  <si>
    <t>FELHASZNÁLT SAJÁT BEVÉTEL</t>
  </si>
  <si>
    <t>"MŰKÖDÉSI KÖLTSÉGVETÉS" MINDÖSSZESEN:</t>
  </si>
  <si>
    <t>6./ Pótlékok, bírságok</t>
  </si>
  <si>
    <t>SAJÁT KÖZHATALMI BEVÉTELEK ÁTTEKINTÉSE ("HELYI ADÓK")</t>
  </si>
  <si>
    <t>"MŰKÖDÉSI KÖLTSÉGVETÉS" (EZER FT)</t>
  </si>
  <si>
    <t>"FEJLESZTÉSI KÖLTSÉGVETÉS":</t>
  </si>
  <si>
    <t>Lakossági adó - az oktatásért</t>
  </si>
  <si>
    <t>Vállalkozói adók és Egyéb</t>
  </si>
  <si>
    <t>ADÓTÍPUS HIÁNYA/ TÖBBLETE</t>
  </si>
  <si>
    <t>IV./ KÖZTERÜLETEK ÉS LÉTESÍTMÉNYEK ÜZEMELTETÉSE</t>
  </si>
  <si>
    <t>"MŰKÖDÉSI KÖLTSÉGVETÉSBEN" SZÜKSÉGES</t>
  </si>
  <si>
    <t>Vállalkozói adók (Kül.: Telekadó)</t>
  </si>
  <si>
    <t>Vállalkozói adók (HIPA)</t>
  </si>
  <si>
    <t>XI./ TARTALÉKOK</t>
  </si>
  <si>
    <t>MARTONVÁSÁR VÁROS KÖLTSÉGVETÉSE MINDÖSSZESEN</t>
  </si>
  <si>
    <t>XII./SAJÁT PROJEKTEK ÉVEN BELÜL (ÁFÁVAL)</t>
  </si>
  <si>
    <t>TARTALÉKOK, KIADÁSOK</t>
  </si>
  <si>
    <t>A számviteli rendszerű költségvetésben - tehát a Képviselő-testület által elfogadandó-elfogadott rendeletben a működési költségvetés része az összes tartalék és a beruházások Áfája is. Azért, hogy a koncepciónál tisztább képet kapjunk, ezeket a tételeket a "Fejlesztési költségvetésben" szerepeltetjük!</t>
  </si>
  <si>
    <t>Fejérvíz csatorna-üzemeltetés - csökkentik a projektkiadások</t>
  </si>
  <si>
    <t>MEGJEGYZÉS</t>
  </si>
  <si>
    <t>TERVEZETT SAJÁT BEVÉTEL</t>
  </si>
  <si>
    <t>Váll.adók-csökkentik a máshova átkerülő kiadások - átvezetendő!</t>
  </si>
  <si>
    <t xml:space="preserve">Fejlesztési tartalék terhére </t>
  </si>
  <si>
    <t>Támogatott szervezetek önrész-finanszírozása beruházásokhoz</t>
  </si>
  <si>
    <t>TOVÁBBI ÉVEKBEN TERVEZETT FINAN-SZÍROZÁS (SAJÁT ÉS KÜLSŐ BEVÉTEL)</t>
  </si>
  <si>
    <t>KÖLTSÉGVETÉS MINDÖSSZESEN:</t>
  </si>
  <si>
    <t>SAJÁT PROJEKTEK ÉVEN BELÜL:</t>
  </si>
  <si>
    <t>"MŰKÖDÉSI KÖLTSÉGVETÉS":</t>
  </si>
  <si>
    <t>XIII./ NAGYOBB PROJEKTEK, PÁLYÁZATOK (ÁFÁVAL)</t>
  </si>
  <si>
    <t>TERVEZETT BEVÉTEL (GRAFIKON)</t>
  </si>
  <si>
    <t>RENDELKE-ZÉSRE ÁLL:</t>
  </si>
  <si>
    <t>NAGYOBB PROJEKTEK, PÁLYÁZATOK ADOTT ÉVBEN:</t>
  </si>
  <si>
    <t>Külterületi utak - VP</t>
  </si>
  <si>
    <t>Kisvárosi Programcsomag - BM</t>
  </si>
  <si>
    <t>SAJÁT KÖZHATALMI BEVÉTELEK MINDÖSSZESEN:</t>
  </si>
  <si>
    <t>ELŐZŐ ÉVEKBEN ELKÖLTÖTT PROJEKT-ÖSSZEGEK (TELJESÜLT KIADÁSOK!)</t>
  </si>
  <si>
    <t>A "LAKOSSÁGI ADÓ" FELHASZNÁLÁSÁRÓL</t>
  </si>
  <si>
    <t>I/1. Polgármesteri hivatal</t>
  </si>
  <si>
    <t>I/2. Képviselő-testület, városvezetés</t>
  </si>
  <si>
    <t>II/3. Szolidaritási hozzájárulás</t>
  </si>
  <si>
    <t>III/1. Brunszvik Teréz Óvoda</t>
  </si>
  <si>
    <t>III/2. Óvodai gyermekétkeztetés, óvodatej</t>
  </si>
  <si>
    <t>III/3.Iskolai gyermekétkeztetés  (Beethoven és Pápay)</t>
  </si>
  <si>
    <t>IV/1. Köztemető</t>
  </si>
  <si>
    <t>IV/2. Zöldterület-gazdálkodás, általános közterületek</t>
  </si>
  <si>
    <t>IV/3. Hulladékgazdálkodás</t>
  </si>
  <si>
    <t>IV/5. Nem önkormányzati épületüzemeltetés</t>
  </si>
  <si>
    <t>V/1. Helyi közösségi közlekedés</t>
  </si>
  <si>
    <t>V/2. Közutak fenntartása (út, járda üzemeltetés, hó- és síkosságmentesítés</t>
  </si>
  <si>
    <t>V/3. Közvilágítás</t>
  </si>
  <si>
    <t>VI/2. TKT-nak a Segítő Szolgálatra átadott forrás szociális állami támogatásból</t>
  </si>
  <si>
    <t>VI/ 4.Rászoruló gyermekek szünidei étkeztetése</t>
  </si>
  <si>
    <t>VII/1. Védőnői Szolgálat</t>
  </si>
  <si>
    <t>VII/2. Egészségház működtetése (védőnői helyiségekkel együtt)</t>
  </si>
  <si>
    <t>VII/3. Labor és egyéb eü.</t>
  </si>
  <si>
    <t>VII/4. Orvosi és fogorvosi ügyelet</t>
  </si>
  <si>
    <t>VIII/2. Alap rendezvénykeret</t>
  </si>
  <si>
    <t>VIII/3. Könyvtár, könyvtári állomány gyarapítás</t>
  </si>
  <si>
    <t>VIII/4. Óvodamúzeum</t>
  </si>
  <si>
    <t>IX/1. Helyi civil szervezetek támogatása</t>
  </si>
  <si>
    <t>IX/2. Védelmi szervezetek támogatása</t>
  </si>
  <si>
    <t>IX/3. Testvérvárosi kapcsolatok, egyéb támogatások, partnerségek</t>
  </si>
  <si>
    <t>IX/4. Civil állampolgári támogatások (díjak, szőlő, stb.)</t>
  </si>
  <si>
    <t>X/2. Sportközpont</t>
  </si>
  <si>
    <t>X/3. Martonsport utánpótlás támogatása</t>
  </si>
  <si>
    <t>X/4. Helyi sportszervezetek támogatása</t>
  </si>
  <si>
    <t>XI/1. Általános tartalék</t>
  </si>
  <si>
    <t>XI/2. Viziközmű céltartalék (Másra nem költhető el!</t>
  </si>
  <si>
    <t>XI/3. Egyéb tartalék</t>
  </si>
  <si>
    <t>XII/1. Önkormányzati projektek</t>
  </si>
  <si>
    <t>XII/3. Saját projektek a viziközmű-tartalék terhére</t>
  </si>
  <si>
    <t>XII/4. Kulturális projektek, kiemelt rendezvények</t>
  </si>
  <si>
    <t>II/1. Összes egyéb önkormányzati feladat és kiadás</t>
  </si>
  <si>
    <t>II/2. Áfa (Beruházások Áfája nélkül!)</t>
  </si>
  <si>
    <t>ÉVES ADÓ-SZÜKSÉGLET/ BEVÉTEL  EGYENLEGE</t>
  </si>
  <si>
    <t>TARTALÉKOK (ALAPVETŐEN KÖTÖTT FELHASZNÁLÁSSAL, KIVÉTEL: FEJLESZTÉSI CÉLTARTALÉK!):</t>
  </si>
  <si>
    <t>MARADVÁNY </t>
  </si>
  <si>
    <t>XII/2. Karbantartási, felújítási projektek (MVK)</t>
  </si>
  <si>
    <t>XI/4. Fejlesztési céltartalék (Egyéb: Ingatlanértékesítés, egyszeri bevétel, stb./ Saját: adótöbblet)</t>
  </si>
  <si>
    <t>1./ Építményadó - lakossági (korábban kommunális adó) + kommunális adó, települési adó hátralék</t>
  </si>
  <si>
    <t>2./ Építményadó - vállalkozói + hátralék</t>
  </si>
  <si>
    <t>5./ Talajterhelési díj + hátralék</t>
  </si>
  <si>
    <t>I./ VÁROSIGAZGATÁS ÉS HELYI DEMOKRÁCIA (1)</t>
  </si>
  <si>
    <t>II./ EGYÉB ÖNKORMÁNYZATI FELADATOK (2)</t>
  </si>
  <si>
    <t>III./ OKTATÁS, NEVELÉS, GYERMEKÉTKEZTETÉS (3)</t>
  </si>
  <si>
    <t>IV./ KÖZTERÜLETEK ÉS LÉTESÍTMÉNYEK ÜZEMELTETÉSE (4)</t>
  </si>
  <si>
    <t>V./ KÖZLEKEDÉS, KÖZVILÁGÍTÁS (5)</t>
  </si>
  <si>
    <t>VI./ SZOCIÁLIS ELLÁTÁS ÉS TÁMOGATÁS (6)</t>
  </si>
  <si>
    <t>VII./ EGÉSZSÉGÜGYI ALAPELLÁTÁS (7)</t>
  </si>
  <si>
    <t>VIII./ KULTÚRA (8)</t>
  </si>
  <si>
    <t>IX./ CIVIL KÖZÖSSÉGEK, TÁMOGATÁSOK (9)</t>
  </si>
  <si>
    <t>X./ SPORTFELADATOK ÉS SPORTSZERVEZETEK (10)</t>
  </si>
  <si>
    <t>I-X./ "MŰKŐDÉSI KÖLTSÉGVETÉS" (1)</t>
  </si>
  <si>
    <t>XI./ TARTALÉKOK (2)</t>
  </si>
  <si>
    <t>XII./SAJÁT PROJEKTEK ÉVEN BELÜL  (3)</t>
  </si>
  <si>
    <t>XIII./ TÁMOGATOTT PROJEKTEK, PÁLYÁZATOK (4)</t>
  </si>
  <si>
    <t>4./ Iparűzési adó + hátralék</t>
  </si>
  <si>
    <t xml:space="preserve">3./ Telekadó + hátralék </t>
  </si>
  <si>
    <t>IV/4. Önkormányzati épület- és létesítményüzemeltetés, kiemelt közterületek</t>
  </si>
  <si>
    <t>VI/3. TKT-nak a Segítő Szolgálat feladataira átadott állami támogatás (Bölcsődével, üzemeltetéssel)</t>
  </si>
  <si>
    <t>VIII/1. Kulturális Központ, közművelődés, helyi közösségek, tánc</t>
  </si>
  <si>
    <t>III/4. Iskolák (Beethoven Általános Iskola, Művészeti Iskola) működtetése</t>
  </si>
  <si>
    <t>PROJEKTEK, PÁLYÁZATOK (ÁFÁVAL) ↓</t>
  </si>
  <si>
    <t>TELJES TERVEZETT ÉVEKEN ÁTNYÚLÓ PROJEKT-ÖSSZEG</t>
  </si>
  <si>
    <t>VI/1. Szociális támogatások, tábor tám., tehetséges tanulók</t>
  </si>
  <si>
    <t xml:space="preserve"> SAJÁT BEVÉTELBŐL/ TARTALÉKBÓL</t>
  </si>
  <si>
    <t>Projektelőkészítés (TOP Plusz)</t>
  </si>
  <si>
    <r>
      <t>A MŰKÖDÉSI KÖLTSÉGVETÉS EGYENLEGE</t>
    </r>
    <r>
      <rPr>
        <sz val="10"/>
        <color theme="1"/>
        <rFont val="Arial"/>
        <family val="2"/>
      </rPr>
      <t xml:space="preserve"> (MEGFELELŐ ESETBEN "NULLA"</t>
    </r>
    <r>
      <rPr>
        <b/>
        <sz val="10"/>
        <color theme="1"/>
        <rFont val="Arial"/>
        <family val="2"/>
      </rPr>
      <t>):</t>
    </r>
  </si>
  <si>
    <r>
      <t xml:space="preserve">A </t>
    </r>
    <r>
      <rPr>
        <b/>
        <sz val="8"/>
        <color theme="1"/>
        <rFont val="Arial"/>
        <family val="2"/>
      </rPr>
      <t>"lakossági adó"</t>
    </r>
    <r>
      <rPr>
        <sz val="8"/>
        <color theme="1"/>
        <rFont val="Arial"/>
        <family val="2"/>
      </rPr>
      <t xml:space="preserve">, korábban kommunális adó, ma magánszemélyek lakások utáni építményadója - egyszerűen csak </t>
    </r>
    <r>
      <rPr>
        <b/>
        <sz val="8"/>
        <color theme="1"/>
        <rFont val="Arial"/>
        <family val="2"/>
      </rPr>
      <t>"közös költség"</t>
    </r>
    <r>
      <rPr>
        <sz val="8"/>
        <color theme="1"/>
        <rFont val="Arial"/>
        <family val="2"/>
      </rPr>
      <t xml:space="preserve">, a </t>
    </r>
    <r>
      <rPr>
        <b/>
        <sz val="8"/>
        <color theme="1"/>
        <rFont val="Arial"/>
        <family val="2"/>
      </rPr>
      <t>polgárok által közvetlenül igénybe vett szolgáltatások</t>
    </r>
    <r>
      <rPr>
        <sz val="8"/>
        <color theme="1"/>
        <rFont val="Arial"/>
        <family val="2"/>
      </rPr>
      <t xml:space="preserve"> állami támogatáson felüli részének fedezetéül szolgál: </t>
    </r>
    <r>
      <rPr>
        <b/>
        <sz val="8"/>
        <color theme="1"/>
        <rFont val="Arial"/>
        <family val="2"/>
      </rPr>
      <t>Oktatás és egészségügy témakörben: az óvoda fenntartására, az óvodai- és iskolai gyermekétkeztetésre és az egészségház fenntartási költségeire, városüzemeltetés témakörben pedig a köztemető fenntartására, a közvilágítás kiadásaira, valamint az út- és járdakarbantartásra</t>
    </r>
    <r>
      <rPr>
        <sz val="8"/>
        <color theme="1"/>
        <rFont val="Arial"/>
        <family val="2"/>
      </rPr>
      <t xml:space="preserve">. </t>
    </r>
  </si>
  <si>
    <t>Áfa különbözet az előző sor saját forrásigényét csökkenti! (beépítve)</t>
  </si>
  <si>
    <t>X/1. Sportcsarnok - a nap nagy részében az iskola fő tornaterme</t>
  </si>
  <si>
    <t>X./ SPORTFELADATOK ÉS SZERVEZETEK, ISKOLAI SPORT</t>
  </si>
  <si>
    <t>Balra: költségvetési kiadási főősszeg / Lent: éves bevételek-kiadások egyenlege: ha negatív, ekkora összeg hiámnyzik a kiadási főösszeg biztosításához, ha pozitív, beépült a fejlesztési céltartalékba!</t>
  </si>
  <si>
    <t>KÖLTSÉGVETÉS 2023. / EREDETI TERV 23</t>
  </si>
  <si>
    <t xml:space="preserve"> KÖLTSÉGVETÉS 2023.</t>
  </si>
  <si>
    <t>1. sz. diagram</t>
  </si>
  <si>
    <t>2. sz. diagram</t>
  </si>
  <si>
    <t>3. sz. diagram</t>
  </si>
  <si>
    <t>1/a. melléklet</t>
  </si>
  <si>
    <t>Ide kerül a plusz adóbevétel!</t>
  </si>
  <si>
    <t>A Fejlesztési céltartalék soron "Rendelkezésre álló" (!) összeg már csökkentésre került a következő projektsorok tervezett kiadásaival: Önkormányzati projektek és Karbantartási, felújítási projektek! A Viziközmű céltartalék bevételeit csökkentik a Saját projektek ennek terhére, a rendelkezésre álló összeg megállapításánál ezt már szintén levontuk!</t>
  </si>
  <si>
    <t>Csökkentik a máshova átkerülő kiadások - átvezetendő!</t>
  </si>
  <si>
    <t xml:space="preserve">Fejlesztési tartalék terhére lehetséges önerő, saját erő betervezése! </t>
  </si>
  <si>
    <t>Viziközmű céltartalék terhére - GFT alapján</t>
  </si>
  <si>
    <t>KÖZZÉTÉTELI KÖLTSÉGVETÉS</t>
  </si>
  <si>
    <t>KÖLTSÉGVETÉS 2023. / I. MÓDOSÍTÁS</t>
  </si>
  <si>
    <t xml:space="preserve"> I. MÓDOSÍTÁS 2023.</t>
  </si>
  <si>
    <t>Helyi identitás - TOP</t>
  </si>
  <si>
    <t>Támogatott projektek (MVK)</t>
  </si>
  <si>
    <t>KÖLTSÉGVETÉS 2023. / II. MÓDOSÍTÁS</t>
  </si>
  <si>
    <t xml:space="preserve"> II. MÓDOSÍTÁS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</si>
</sst>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rgb="FF000000"/>
      <name val="Tahoma"/>
      <family val="2"/>
      <charset val="238"/>
    </font>
    <font>
      <b/>
      <u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i/>
      <sz val="9"/>
      <name val="Arial"/>
      <family val="2"/>
    </font>
    <font>
      <i/>
      <sz val="10"/>
      <name val="Arial"/>
      <family val="2"/>
      <charset val="238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b/>
      <u/>
      <sz val="11"/>
      <color theme="1"/>
      <name val="Arial"/>
      <family val="2"/>
    </font>
    <font>
      <sz val="7"/>
      <name val="Arial"/>
      <family val="2"/>
    </font>
    <font>
      <b/>
      <sz val="10"/>
      <color rgb="FF002060"/>
      <name val="Arial"/>
      <family val="2"/>
    </font>
    <font>
      <i/>
      <sz val="10"/>
      <color rgb="FF002060"/>
      <name val="Arial"/>
      <family val="2"/>
      <charset val="238"/>
    </font>
    <font>
      <b/>
      <i/>
      <sz val="10"/>
      <color theme="5" tint="-0.499984740745262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164" fontId="29" fillId="3" borderId="1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64" fontId="35" fillId="3" borderId="4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164" fontId="32" fillId="3" borderId="3" xfId="0" applyNumberFormat="1" applyFont="1" applyFill="1" applyBorder="1" applyAlignment="1">
      <alignment horizontal="center" vertical="center" wrapText="1"/>
    </xf>
    <xf numFmtId="164" fontId="18" fillId="3" borderId="10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164" fontId="40" fillId="3" borderId="3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42" fillId="3" borderId="1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36" fillId="2" borderId="3" xfId="0" applyNumberFormat="1" applyFont="1" applyFill="1" applyBorder="1" applyAlignment="1">
      <alignment horizontal="center" vertical="center" wrapText="1"/>
    </xf>
    <xf numFmtId="164" fontId="36" fillId="2" borderId="9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28" fillId="4" borderId="10" xfId="0" applyNumberFormat="1" applyFont="1" applyFill="1" applyBorder="1" applyAlignment="1">
      <alignment horizontal="center" vertical="center" wrapText="1"/>
    </xf>
    <xf numFmtId="164" fontId="28" fillId="4" borderId="6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164" fontId="37" fillId="3" borderId="10" xfId="0" applyNumberFormat="1" applyFont="1" applyFill="1" applyBorder="1" applyAlignment="1">
      <alignment horizontal="center" vertical="center" wrapText="1"/>
    </xf>
    <xf numFmtId="164" fontId="37" fillId="3" borderId="6" xfId="0" applyNumberFormat="1" applyFont="1" applyFill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 wrapText="1"/>
    </xf>
    <xf numFmtId="164" fontId="18" fillId="3" borderId="12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0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164" fontId="38" fillId="3" borderId="0" xfId="0" applyNumberFormat="1" applyFont="1" applyFill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/>
    </xf>
    <xf numFmtId="0" fontId="27" fillId="5" borderId="5" xfId="0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71C1AF"/>
      <color rgb="FF72CCA0"/>
      <color rgb="FFB17BE2"/>
      <color rgb="FFA449E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23'!$D$93:$D$98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23'!$E$101:$E$110</c:f>
              <c:numCache>
                <c:formatCode>#\ ##0\ _F_t</c:formatCode>
                <c:ptCount val="10"/>
                <c:pt idx="0">
                  <c:v>322181</c:v>
                </c:pt>
                <c:pt idx="1">
                  <c:v>70446</c:v>
                </c:pt>
                <c:pt idx="2">
                  <c:v>433663</c:v>
                </c:pt>
                <c:pt idx="3">
                  <c:v>63872</c:v>
                </c:pt>
                <c:pt idx="4">
                  <c:v>79212</c:v>
                </c:pt>
                <c:pt idx="5">
                  <c:v>163785</c:v>
                </c:pt>
                <c:pt idx="6">
                  <c:v>53418</c:v>
                </c:pt>
                <c:pt idx="7">
                  <c:v>99143</c:v>
                </c:pt>
                <c:pt idx="8">
                  <c:v>11400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23'!$I$107:$I$110</c:f>
              <c:numCache>
                <c:formatCode>#\ ##0\ _F_t</c:formatCode>
                <c:ptCount val="4"/>
                <c:pt idx="0">
                  <c:v>1307120</c:v>
                </c:pt>
                <c:pt idx="1">
                  <c:v>32397</c:v>
                </c:pt>
                <c:pt idx="2">
                  <c:v>27055</c:v>
                </c:pt>
                <c:pt idx="3">
                  <c:v>288170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23'!$J$107:$J$110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23'!$E$103:$E$112</c:f>
              <c:numCache>
                <c:formatCode>#\ ##0\ _F_t</c:formatCode>
                <c:ptCount val="10"/>
                <c:pt idx="0">
                  <c:v>330564</c:v>
                </c:pt>
                <c:pt idx="1">
                  <c:v>103877</c:v>
                </c:pt>
                <c:pt idx="2">
                  <c:v>438076</c:v>
                </c:pt>
                <c:pt idx="3">
                  <c:v>63872</c:v>
                </c:pt>
                <c:pt idx="4">
                  <c:v>79212</c:v>
                </c:pt>
                <c:pt idx="5">
                  <c:v>195583</c:v>
                </c:pt>
                <c:pt idx="6">
                  <c:v>53418</c:v>
                </c:pt>
                <c:pt idx="7">
                  <c:v>99143</c:v>
                </c:pt>
                <c:pt idx="8">
                  <c:v>19200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23'!$I$109:$I$112</c:f>
              <c:numCache>
                <c:formatCode>#\ ##0\ _F_t</c:formatCode>
                <c:ptCount val="4"/>
                <c:pt idx="0">
                  <c:v>1392945</c:v>
                </c:pt>
                <c:pt idx="1">
                  <c:v>135373</c:v>
                </c:pt>
                <c:pt idx="2">
                  <c:v>162500</c:v>
                </c:pt>
                <c:pt idx="3">
                  <c:v>551963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23'!$E$103:$E$112</c:f>
              <c:numCache>
                <c:formatCode>#\ ##0\ _F_t</c:formatCode>
                <c:ptCount val="10"/>
                <c:pt idx="0">
                  <c:v>333356</c:v>
                </c:pt>
                <c:pt idx="1">
                  <c:v>109840</c:v>
                </c:pt>
                <c:pt idx="2">
                  <c:v>438076</c:v>
                </c:pt>
                <c:pt idx="3">
                  <c:v>63872</c:v>
                </c:pt>
                <c:pt idx="4">
                  <c:v>79212</c:v>
                </c:pt>
                <c:pt idx="5">
                  <c:v>201647</c:v>
                </c:pt>
                <c:pt idx="6">
                  <c:v>57027</c:v>
                </c:pt>
                <c:pt idx="7">
                  <c:v>107143</c:v>
                </c:pt>
                <c:pt idx="8">
                  <c:v>19500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23'!$I$109:$I$112</c:f>
              <c:numCache>
                <c:formatCode>#\ ##0\ _F_t</c:formatCode>
                <c:ptCount val="4"/>
                <c:pt idx="0">
                  <c:v>1419673</c:v>
                </c:pt>
                <c:pt idx="1">
                  <c:v>104906</c:v>
                </c:pt>
                <c:pt idx="2">
                  <c:v>178120</c:v>
                </c:pt>
                <c:pt idx="3">
                  <c:v>561061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91</xdr:row>
      <xdr:rowOff>61205</xdr:rowOff>
    </xdr:from>
    <xdr:to>
      <xdr:col>9</xdr:col>
      <xdr:colOff>844220</xdr:colOff>
      <xdr:row>98</xdr:row>
      <xdr:rowOff>16076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111</xdr:row>
      <xdr:rowOff>36341</xdr:rowOff>
    </xdr:from>
    <xdr:to>
      <xdr:col>4</xdr:col>
      <xdr:colOff>825943</xdr:colOff>
      <xdr:row>125</xdr:row>
      <xdr:rowOff>107402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111</xdr:row>
      <xdr:rowOff>533</xdr:rowOff>
    </xdr:from>
    <xdr:to>
      <xdr:col>10</xdr:col>
      <xdr:colOff>0</xdr:colOff>
      <xdr:row>125</xdr:row>
      <xdr:rowOff>168741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58"/>
  <sheetViews>
    <sheetView topLeftCell="B64" zoomScale="90" zoomScaleNormal="90" zoomScaleSheetLayoutView="158" workbookViewId="0">
      <selection activeCell="G70" sqref="G70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05" t="s">
        <v>147</v>
      </c>
      <c r="C2" s="105"/>
      <c r="D2" s="105"/>
      <c r="E2" s="105"/>
      <c r="F2" s="105"/>
      <c r="G2" s="105"/>
      <c r="H2" s="105"/>
      <c r="I2" s="105"/>
      <c r="J2" s="105"/>
    </row>
    <row r="3" spans="2:10" ht="18.75" thickBot="1" x14ac:dyDescent="0.3">
      <c r="B3" s="106" t="s">
        <v>142</v>
      </c>
      <c r="C3" s="106"/>
      <c r="D3" s="106"/>
      <c r="E3" s="106"/>
      <c r="F3" s="106"/>
      <c r="G3" s="106"/>
      <c r="H3" s="106"/>
      <c r="I3" s="106"/>
      <c r="J3" s="106"/>
    </row>
    <row r="4" spans="2:10" x14ac:dyDescent="0.25">
      <c r="B4" s="121" t="s">
        <v>153</v>
      </c>
      <c r="C4" s="112" t="s">
        <v>24</v>
      </c>
      <c r="D4" s="112"/>
      <c r="E4" s="112"/>
      <c r="F4" s="112"/>
      <c r="G4" s="112"/>
      <c r="H4" s="112"/>
      <c r="I4" s="112"/>
      <c r="J4" s="24"/>
    </row>
    <row r="5" spans="2:10" x14ac:dyDescent="0.25">
      <c r="B5" s="122"/>
      <c r="C5" s="126"/>
      <c r="D5" s="126"/>
      <c r="E5" s="126"/>
      <c r="F5" s="126"/>
      <c r="G5" s="126"/>
      <c r="H5" s="126"/>
      <c r="I5" s="125" t="s">
        <v>5</v>
      </c>
      <c r="J5" s="125"/>
    </row>
    <row r="6" spans="2:10" ht="15.75" thickBot="1" x14ac:dyDescent="0.3">
      <c r="B6" s="123"/>
      <c r="C6" s="114" t="s">
        <v>7</v>
      </c>
      <c r="D6" s="114"/>
      <c r="E6" s="114"/>
      <c r="F6" s="114"/>
      <c r="G6" s="124" t="s">
        <v>8</v>
      </c>
      <c r="H6" s="124"/>
      <c r="I6" s="124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78" t="s">
        <v>134</v>
      </c>
    </row>
    <row r="8" spans="2:10" ht="26.25" thickBot="1" x14ac:dyDescent="0.3">
      <c r="B8" s="8" t="s">
        <v>11</v>
      </c>
      <c r="C8" s="10">
        <f>SUM(C9:C10)</f>
        <v>123725</v>
      </c>
      <c r="D8" s="10">
        <f>SUM(D9:D10)</f>
        <v>31967</v>
      </c>
      <c r="E8" s="14" t="s">
        <v>40</v>
      </c>
      <c r="F8" s="26">
        <f>G8-C8-D8</f>
        <v>166489</v>
      </c>
      <c r="G8" s="56">
        <f t="shared" ref="G8:G17" si="0">H8+I8</f>
        <v>322181</v>
      </c>
      <c r="H8" s="10">
        <f>SUM(H9:H10)</f>
        <v>306151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85">
        <f>122645+1080</f>
        <v>123725</v>
      </c>
      <c r="D9" s="85">
        <f>2000+1741+7000</f>
        <v>10741</v>
      </c>
      <c r="E9" s="15" t="s">
        <v>9</v>
      </c>
      <c r="F9" s="27">
        <f>G9-C9-D9</f>
        <v>129370</v>
      </c>
      <c r="G9" s="77">
        <f t="shared" si="0"/>
        <v>263836</v>
      </c>
      <c r="H9" s="85">
        <v>247806</v>
      </c>
      <c r="I9" s="85">
        <v>16030</v>
      </c>
      <c r="J9" s="80"/>
    </row>
    <row r="10" spans="2:10" ht="15.75" thickBot="1" x14ac:dyDescent="0.3">
      <c r="B10" s="9" t="s">
        <v>67</v>
      </c>
      <c r="C10" s="11"/>
      <c r="D10" s="85">
        <f>630+500+19836+260</f>
        <v>21226</v>
      </c>
      <c r="E10" s="15" t="s">
        <v>9</v>
      </c>
      <c r="F10" s="27">
        <f>G10-C10-D10</f>
        <v>37119</v>
      </c>
      <c r="G10" s="17">
        <f t="shared" si="0"/>
        <v>58345</v>
      </c>
      <c r="H10" s="85">
        <f>47046+6299+5000</f>
        <v>58345</v>
      </c>
      <c r="I10" s="85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21065</v>
      </c>
      <c r="E11" s="14" t="s">
        <v>9</v>
      </c>
      <c r="F11" s="26">
        <f>G11-C11-D11</f>
        <v>32031</v>
      </c>
      <c r="G11" s="56">
        <f t="shared" si="0"/>
        <v>70446</v>
      </c>
      <c r="H11" s="10">
        <f>SUM(H12:H14)</f>
        <v>68708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85">
        <v>17350</v>
      </c>
      <c r="D12" s="85">
        <v>42</v>
      </c>
      <c r="E12" s="15" t="s">
        <v>9</v>
      </c>
      <c r="F12" s="27">
        <f>G12-C12-D12-(D13-H13)</f>
        <v>15413</v>
      </c>
      <c r="G12" s="17">
        <f t="shared" si="0"/>
        <v>37875</v>
      </c>
      <c r="H12" s="11">
        <f>12160+14215+9049-1738+2451</f>
        <v>36137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85">
        <f>13762+10360+2191-5290</f>
        <v>21023</v>
      </c>
      <c r="E13" s="103" t="s">
        <v>138</v>
      </c>
      <c r="F13" s="104"/>
      <c r="G13" s="17">
        <f t="shared" si="0"/>
        <v>15953</v>
      </c>
      <c r="H13" s="85">
        <v>15953</v>
      </c>
      <c r="I13" s="11"/>
      <c r="J13" s="80"/>
    </row>
    <row r="14" spans="2:10" ht="15.75" thickBot="1" x14ac:dyDescent="0.3">
      <c r="B14" s="9" t="s">
        <v>68</v>
      </c>
      <c r="C14" s="11"/>
      <c r="D14" s="11"/>
      <c r="E14" s="15" t="s">
        <v>9</v>
      </c>
      <c r="F14" s="27">
        <f>G14-C14-D14</f>
        <v>16618</v>
      </c>
      <c r="G14" s="17">
        <f t="shared" si="0"/>
        <v>16618</v>
      </c>
      <c r="H14" s="85">
        <v>16618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299216</v>
      </c>
      <c r="D15" s="10">
        <f>SUM(D16:D19)</f>
        <v>38102</v>
      </c>
      <c r="E15" s="14" t="s">
        <v>35</v>
      </c>
      <c r="F15" s="26">
        <f>G15-C15-D15</f>
        <v>96345</v>
      </c>
      <c r="G15" s="56">
        <f t="shared" si="0"/>
        <v>433663</v>
      </c>
      <c r="H15" s="10">
        <f>SUM(H16:H19)</f>
        <v>387263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85">
        <v>205616</v>
      </c>
      <c r="D16" s="11"/>
      <c r="E16" s="15" t="s">
        <v>10</v>
      </c>
      <c r="F16" s="27">
        <f>G16-C16-D16</f>
        <v>67540</v>
      </c>
      <c r="G16" s="17">
        <f t="shared" si="0"/>
        <v>273156</v>
      </c>
      <c r="H16" s="85">
        <v>228301</v>
      </c>
      <c r="I16" s="85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85">
        <v>32026</v>
      </c>
      <c r="D17" s="85">
        <v>8116</v>
      </c>
      <c r="E17" s="15" t="s">
        <v>10</v>
      </c>
      <c r="F17" s="27">
        <f>G17-C17-D17</f>
        <v>8567</v>
      </c>
      <c r="G17" s="17">
        <f t="shared" si="0"/>
        <v>48709</v>
      </c>
      <c r="H17" s="85">
        <v>48709</v>
      </c>
      <c r="I17" s="85"/>
      <c r="J17" s="80"/>
    </row>
    <row r="18" spans="2:10" ht="26.25" thickBot="1" x14ac:dyDescent="0.3">
      <c r="B18" s="9" t="s">
        <v>71</v>
      </c>
      <c r="C18" s="85">
        <v>61574</v>
      </c>
      <c r="D18" s="85">
        <f>26666+3320</f>
        <v>29986</v>
      </c>
      <c r="E18" s="15" t="s">
        <v>10</v>
      </c>
      <c r="F18" s="69">
        <f t="shared" ref="F18:F19" si="3">G18-C18-D18</f>
        <v>18693</v>
      </c>
      <c r="G18" s="17">
        <f t="shared" ref="G18:G19" si="4">H18+I18</f>
        <v>110253</v>
      </c>
      <c r="H18" s="85">
        <v>110253</v>
      </c>
      <c r="I18" s="85"/>
      <c r="J18" s="80"/>
    </row>
    <row r="19" spans="2:10" ht="39" thickBot="1" x14ac:dyDescent="0.3">
      <c r="B19" s="9" t="s">
        <v>130</v>
      </c>
      <c r="C19" s="11"/>
      <c r="D19" s="11"/>
      <c r="E19" s="15" t="s">
        <v>10</v>
      </c>
      <c r="F19" s="27">
        <f t="shared" si="3"/>
        <v>1545</v>
      </c>
      <c r="G19" s="17">
        <f t="shared" si="4"/>
        <v>1545</v>
      </c>
      <c r="H19" s="85"/>
      <c r="I19" s="85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85">
        <v>2302</v>
      </c>
      <c r="D21" s="11"/>
      <c r="E21" s="15" t="s">
        <v>10</v>
      </c>
      <c r="F21" s="27">
        <f>G21-C21-D21</f>
        <v>3958</v>
      </c>
      <c r="G21" s="17">
        <f>H21+I21</f>
        <v>6260</v>
      </c>
      <c r="H21" s="68"/>
      <c r="I21" s="85">
        <v>6260</v>
      </c>
      <c r="J21" s="80">
        <v>2160</v>
      </c>
    </row>
    <row r="22" spans="2:10" ht="26.25" thickBot="1" x14ac:dyDescent="0.3">
      <c r="B22" s="41" t="s">
        <v>73</v>
      </c>
      <c r="C22" s="85">
        <v>9438</v>
      </c>
      <c r="D22" s="11"/>
      <c r="E22" s="15" t="s">
        <v>9</v>
      </c>
      <c r="F22" s="27">
        <f>G22-C22-D22</f>
        <v>15538</v>
      </c>
      <c r="G22" s="17">
        <f>H22+I22</f>
        <v>24976</v>
      </c>
      <c r="H22" s="68"/>
      <c r="I22" s="85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15" t="s">
        <v>9</v>
      </c>
      <c r="F23" s="27">
        <f>G23-C23-D23</f>
        <v>7246</v>
      </c>
      <c r="G23" s="17">
        <f>H23+I23</f>
        <v>7246</v>
      </c>
      <c r="H23" s="68"/>
      <c r="I23" s="85">
        <v>7246</v>
      </c>
      <c r="J23" s="80"/>
    </row>
    <row r="24" spans="2:10" ht="39" thickBot="1" x14ac:dyDescent="0.3">
      <c r="B24" s="41" t="s">
        <v>127</v>
      </c>
      <c r="C24" s="11"/>
      <c r="D24" s="11"/>
      <c r="E24" s="15" t="s">
        <v>9</v>
      </c>
      <c r="F24" s="27">
        <f t="shared" ref="F24:F25" si="5">G24-C24-D24</f>
        <v>25390</v>
      </c>
      <c r="G24" s="17">
        <f>H24+I24</f>
        <v>25390</v>
      </c>
      <c r="H24" s="68"/>
      <c r="I24" s="85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15" t="s">
        <v>9</v>
      </c>
      <c r="F25" s="27">
        <f t="shared" si="5"/>
        <v>0</v>
      </c>
      <c r="G25" s="17">
        <f t="shared" ref="G25" si="6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7">SUM(I27:I29)</f>
        <v>79212</v>
      </c>
      <c r="J26" s="79">
        <f t="shared" si="7"/>
        <v>621</v>
      </c>
    </row>
    <row r="27" spans="2:10" ht="24.75" thickBot="1" x14ac:dyDescent="0.3">
      <c r="B27" s="9" t="s">
        <v>76</v>
      </c>
      <c r="C27" s="11"/>
      <c r="D27" s="11"/>
      <c r="E27" s="15" t="s">
        <v>41</v>
      </c>
      <c r="F27" s="27">
        <f>G27-C27-D27</f>
        <v>10495</v>
      </c>
      <c r="G27" s="17">
        <f>H27+I27</f>
        <v>10495</v>
      </c>
      <c r="H27" s="61"/>
      <c r="I27" s="85">
        <v>10495</v>
      </c>
      <c r="J27" s="81">
        <v>621</v>
      </c>
    </row>
    <row r="28" spans="2:10" ht="39" thickBot="1" x14ac:dyDescent="0.3">
      <c r="B28" s="9" t="s">
        <v>77</v>
      </c>
      <c r="C28" s="85">
        <v>5304</v>
      </c>
      <c r="D28" s="11"/>
      <c r="E28" s="15" t="s">
        <v>10</v>
      </c>
      <c r="F28" s="27">
        <f>G28-C28-D28</f>
        <v>4276</v>
      </c>
      <c r="G28" s="17">
        <f>H28+I28</f>
        <v>9580</v>
      </c>
      <c r="H28" s="61"/>
      <c r="I28" s="85">
        <v>9580</v>
      </c>
      <c r="J28" s="80"/>
    </row>
    <row r="29" spans="2:10" ht="15.75" thickBot="1" x14ac:dyDescent="0.3">
      <c r="B29" s="9" t="s">
        <v>78</v>
      </c>
      <c r="C29" s="85">
        <v>54074</v>
      </c>
      <c r="D29" s="11"/>
      <c r="E29" s="15" t="s">
        <v>10</v>
      </c>
      <c r="F29" s="69">
        <f t="shared" ref="F29" si="8">G29-C29-D29</f>
        <v>5063</v>
      </c>
      <c r="G29" s="17">
        <f t="shared" ref="G29" si="9">H29+I29</f>
        <v>59137</v>
      </c>
      <c r="H29" s="61"/>
      <c r="I29" s="85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146790</v>
      </c>
      <c r="D30" s="10">
        <f>SUM(D31:D34)</f>
        <v>0</v>
      </c>
      <c r="E30" s="14" t="s">
        <v>9</v>
      </c>
      <c r="F30" s="26">
        <f>G30-C30-D30</f>
        <v>16995</v>
      </c>
      <c r="G30" s="56">
        <f>H30+I30</f>
        <v>163785</v>
      </c>
      <c r="H30" s="10">
        <f>SUM(H31:H34)</f>
        <v>163785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27">
        <v>7397</v>
      </c>
      <c r="D31" s="11"/>
      <c r="E31" s="15" t="s">
        <v>9</v>
      </c>
      <c r="F31" s="142">
        <f>(G31+G32)-C31</f>
        <v>5000</v>
      </c>
      <c r="G31" s="17">
        <f>H31+I31</f>
        <v>9278</v>
      </c>
      <c r="H31" s="85">
        <f>4278+5000</f>
        <v>9278</v>
      </c>
      <c r="I31" s="11"/>
      <c r="J31" s="80"/>
    </row>
    <row r="32" spans="2:10" ht="39" thickBot="1" x14ac:dyDescent="0.3">
      <c r="B32" s="9" t="s">
        <v>79</v>
      </c>
      <c r="C32" s="128"/>
      <c r="D32" s="11"/>
      <c r="E32" s="15" t="s">
        <v>9</v>
      </c>
      <c r="F32" s="143"/>
      <c r="G32" s="17">
        <f t="shared" ref="G32" si="10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85">
        <v>139331</v>
      </c>
      <c r="D33" s="11"/>
      <c r="E33" s="15" t="s">
        <v>9</v>
      </c>
      <c r="F33" s="27">
        <f>G33-C33-D33</f>
        <v>11995</v>
      </c>
      <c r="G33" s="17">
        <f>H33+I33</f>
        <v>151326</v>
      </c>
      <c r="H33" s="85">
        <f>139331+11995</f>
        <v>151326</v>
      </c>
      <c r="I33" s="11"/>
      <c r="J33" s="80"/>
    </row>
    <row r="34" spans="2:10" ht="26.25" thickBot="1" x14ac:dyDescent="0.3">
      <c r="B34" s="9" t="s">
        <v>80</v>
      </c>
      <c r="C34" s="85">
        <v>62</v>
      </c>
      <c r="D34" s="11"/>
      <c r="E34" s="15" t="s">
        <v>9</v>
      </c>
      <c r="F34" s="27">
        <f t="shared" ref="F34" si="11">G34-C34-D34</f>
        <v>0</v>
      </c>
      <c r="G34" s="17">
        <f t="shared" ref="G34" si="12">H34+I34</f>
        <v>62</v>
      </c>
      <c r="H34" s="85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26874</v>
      </c>
      <c r="G35" s="56">
        <f>H35+I35</f>
        <v>53418</v>
      </c>
      <c r="H35" s="10">
        <f>SUM(H36:H39)</f>
        <v>36707</v>
      </c>
      <c r="I35" s="10">
        <f t="shared" ref="I35:J35" si="13">SUM(I36:I39)</f>
        <v>16711</v>
      </c>
      <c r="J35" s="79">
        <f t="shared" si="13"/>
        <v>3636</v>
      </c>
    </row>
    <row r="36" spans="2:10" ht="15.75" thickBot="1" x14ac:dyDescent="0.3">
      <c r="B36" s="9" t="s">
        <v>81</v>
      </c>
      <c r="C36" s="85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85">
        <v>28287</v>
      </c>
      <c r="I36" s="85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85"/>
      <c r="I37" s="85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4">G38-C38-D38</f>
        <v>2254</v>
      </c>
      <c r="G38" s="17">
        <f t="shared" ref="G38:G39" si="15">H38+I38</f>
        <v>2254</v>
      </c>
      <c r="H38" s="85">
        <v>2254</v>
      </c>
      <c r="I38" s="85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4"/>
        <v>6166</v>
      </c>
      <c r="G39" s="17">
        <f t="shared" si="15"/>
        <v>6166</v>
      </c>
      <c r="H39" s="85">
        <f>5005+1161</f>
        <v>6166</v>
      </c>
      <c r="I39" s="85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80179</v>
      </c>
      <c r="G40" s="56">
        <f>H40+I40</f>
        <v>99143</v>
      </c>
      <c r="H40" s="10">
        <f>SUM(H41:H44)</f>
        <v>1289</v>
      </c>
      <c r="I40" s="10">
        <f>SUM(I41:I44)</f>
        <v>97854</v>
      </c>
      <c r="J40" s="79">
        <f>SUM(J41:J44)</f>
        <v>4760</v>
      </c>
    </row>
    <row r="41" spans="2:10" ht="39" thickBot="1" x14ac:dyDescent="0.3">
      <c r="B41" s="9" t="s">
        <v>129</v>
      </c>
      <c r="C41" s="127">
        <f>12889+6075</f>
        <v>18964</v>
      </c>
      <c r="D41" s="11"/>
      <c r="E41" s="15" t="s">
        <v>9</v>
      </c>
      <c r="F41" s="27">
        <f>G41-C41-D41</f>
        <v>39729</v>
      </c>
      <c r="G41" s="17">
        <f>H41+I41</f>
        <v>58693</v>
      </c>
      <c r="H41" s="85"/>
      <c r="I41" s="85">
        <v>58693</v>
      </c>
      <c r="J41" s="80">
        <v>2372</v>
      </c>
    </row>
    <row r="42" spans="2:10" ht="15.75" thickBot="1" x14ac:dyDescent="0.3">
      <c r="B42" s="9" t="s">
        <v>85</v>
      </c>
      <c r="C42" s="129"/>
      <c r="D42" s="11"/>
      <c r="E42" s="15" t="s">
        <v>9</v>
      </c>
      <c r="F42" s="27">
        <f>G42-C42-D42</f>
        <v>11000</v>
      </c>
      <c r="G42" s="17">
        <f>H42+I42</f>
        <v>11000</v>
      </c>
      <c r="H42" s="85"/>
      <c r="I42" s="85">
        <v>11000</v>
      </c>
      <c r="J42" s="80"/>
    </row>
    <row r="43" spans="2:10" ht="26.25" thickBot="1" x14ac:dyDescent="0.3">
      <c r="B43" s="9" t="s">
        <v>86</v>
      </c>
      <c r="C43" s="129"/>
      <c r="D43" s="11"/>
      <c r="E43" s="15" t="s">
        <v>9</v>
      </c>
      <c r="F43" s="27">
        <f t="shared" ref="F43" si="16">G43-C43-D43</f>
        <v>10989</v>
      </c>
      <c r="G43" s="17">
        <f t="shared" ref="G43" si="17">H43+I43</f>
        <v>10989</v>
      </c>
      <c r="H43" s="85">
        <v>1289</v>
      </c>
      <c r="I43" s="85">
        <v>9700</v>
      </c>
      <c r="J43" s="80">
        <v>396</v>
      </c>
    </row>
    <row r="44" spans="2:10" ht="15.75" thickBot="1" x14ac:dyDescent="0.3">
      <c r="B44" s="53" t="s">
        <v>87</v>
      </c>
      <c r="C44" s="128"/>
      <c r="D44" s="47"/>
      <c r="E44" s="15" t="s">
        <v>9</v>
      </c>
      <c r="F44" s="54">
        <f t="shared" ref="F44" si="18">G44-C44-D44</f>
        <v>18461</v>
      </c>
      <c r="G44" s="55">
        <f t="shared" ref="G44" si="19">H44+I44</f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06" t="s">
        <v>142</v>
      </c>
      <c r="C47" s="106"/>
      <c r="D47" s="106"/>
      <c r="E47" s="106"/>
      <c r="F47" s="106"/>
      <c r="G47" s="106"/>
      <c r="H47" s="106"/>
      <c r="I47" s="106"/>
      <c r="J47" s="106"/>
    </row>
    <row r="48" spans="2:10" ht="15" customHeight="1" x14ac:dyDescent="0.25">
      <c r="B48" s="121" t="s">
        <v>153</v>
      </c>
      <c r="C48" s="112" t="s">
        <v>24</v>
      </c>
      <c r="D48" s="112"/>
      <c r="E48" s="112"/>
      <c r="F48" s="112"/>
      <c r="G48" s="112"/>
      <c r="H48" s="112"/>
      <c r="I48" s="112"/>
      <c r="J48" s="24"/>
    </row>
    <row r="49" spans="2:10" x14ac:dyDescent="0.25">
      <c r="B49" s="122"/>
      <c r="C49" s="126"/>
      <c r="D49" s="126"/>
      <c r="E49" s="126"/>
      <c r="F49" s="126"/>
      <c r="G49" s="126"/>
      <c r="H49" s="126"/>
      <c r="I49" s="125" t="s">
        <v>5</v>
      </c>
      <c r="J49" s="125"/>
    </row>
    <row r="50" spans="2:10" ht="15.75" thickBot="1" x14ac:dyDescent="0.3">
      <c r="B50" s="123"/>
      <c r="C50" s="114" t="s">
        <v>7</v>
      </c>
      <c r="D50" s="114"/>
      <c r="E50" s="114"/>
      <c r="F50" s="114"/>
      <c r="G50" s="124" t="s">
        <v>8</v>
      </c>
      <c r="H50" s="124"/>
      <c r="I50" s="124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78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11400</v>
      </c>
      <c r="G52" s="56">
        <f>H52+I52</f>
        <v>11400</v>
      </c>
      <c r="H52" s="10">
        <f>SUM(H53:H56)</f>
        <v>11400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15" t="s">
        <v>19</v>
      </c>
      <c r="F53" s="27">
        <f>G53-C53-D53</f>
        <v>4000</v>
      </c>
      <c r="G53" s="17">
        <f>H53+I53</f>
        <v>4000</v>
      </c>
      <c r="H53" s="85">
        <v>4000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15" t="s">
        <v>19</v>
      </c>
      <c r="F54" s="27">
        <f t="shared" ref="F54" si="20">G54-C54-D54</f>
        <v>1500</v>
      </c>
      <c r="G54" s="17">
        <f t="shared" ref="G54" si="21">H54+I54</f>
        <v>1500</v>
      </c>
      <c r="H54" s="85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15" t="s">
        <v>9</v>
      </c>
      <c r="F55" s="27">
        <f>G55-C55-D55</f>
        <v>4800</v>
      </c>
      <c r="G55" s="17">
        <f>H55+I55</f>
        <v>4800</v>
      </c>
      <c r="H55" s="85">
        <v>4800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15" t="s">
        <v>9</v>
      </c>
      <c r="F56" s="27">
        <f t="shared" ref="F56" si="22">G56-C56-D56</f>
        <v>1100</v>
      </c>
      <c r="G56" s="17">
        <f t="shared" ref="G56" si="23">H56+I56</f>
        <v>1100</v>
      </c>
      <c r="H56" s="85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" si="24">SUM(I58:I61)</f>
        <v>0</v>
      </c>
      <c r="J57" s="79">
        <f t="shared" ref="J57" si="25">SUM(J58:J61)</f>
        <v>139260</v>
      </c>
    </row>
    <row r="58" spans="2:10" ht="26.25" thickBot="1" x14ac:dyDescent="0.3">
      <c r="B58" s="9" t="s">
        <v>139</v>
      </c>
      <c r="C58" s="11"/>
      <c r="D58" s="11"/>
      <c r="E58" s="15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15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15" t="s">
        <v>9</v>
      </c>
      <c r="F60" s="27">
        <f t="shared" ref="F60:F62" si="26">G60-C60-D60</f>
        <v>0</v>
      </c>
      <c r="G60" s="17">
        <f t="shared" ref="G60:G61" si="27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15" t="s">
        <v>9</v>
      </c>
      <c r="F61" s="27">
        <f>G61-C61-D61</f>
        <v>10000</v>
      </c>
      <c r="G61" s="17">
        <f t="shared" si="27"/>
        <v>10000</v>
      </c>
      <c r="H61" s="85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703707</v>
      </c>
      <c r="D62" s="21">
        <f>D57+D52+D40+D35+D30+D26+D20+D15+D11+D8</f>
        <v>91134</v>
      </c>
      <c r="E62" s="43"/>
      <c r="F62" s="31">
        <f t="shared" si="26"/>
        <v>512279</v>
      </c>
      <c r="G62" s="44">
        <f>G57+G52+G40+G35+G30+G26+G20+G15+G11+G8</f>
        <v>1307120</v>
      </c>
      <c r="H62" s="21">
        <f>H57+H52+H40+H35+H30+H26+H20+H15+H11+H8</f>
        <v>985303</v>
      </c>
      <c r="I62" s="45">
        <f>I57+I52+I40+I35+I30+I26+I20+I15+I11+I8</f>
        <v>321817</v>
      </c>
      <c r="J62" s="46">
        <f>J57+J52+J40+J35+J30+J26+J20+J15+J11+J8</f>
        <v>278908</v>
      </c>
    </row>
    <row r="63" spans="2:10" ht="25.9" customHeight="1" thickBot="1" x14ac:dyDescent="0.3">
      <c r="B63" s="138" t="s">
        <v>136</v>
      </c>
      <c r="C63" s="138"/>
      <c r="D63" s="138"/>
      <c r="E63" s="138"/>
      <c r="F63" s="139"/>
      <c r="G63" s="74">
        <f>G62-C62-D62-F62</f>
        <v>0</v>
      </c>
      <c r="H63" s="140"/>
      <c r="I63" s="141"/>
      <c r="J63" s="141"/>
    </row>
    <row r="64" spans="2:10" ht="16.149999999999999" customHeight="1" thickBot="1" x14ac:dyDescent="0.3">
      <c r="B64" s="20" t="s">
        <v>34</v>
      </c>
      <c r="C64" s="148" t="s">
        <v>1</v>
      </c>
      <c r="D64" s="148"/>
      <c r="E64" s="148"/>
      <c r="F64" s="149"/>
      <c r="G64" s="150" t="s">
        <v>45</v>
      </c>
      <c r="H64" s="150"/>
      <c r="I64" s="150"/>
      <c r="J64" s="150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2" t="s">
        <v>46</v>
      </c>
      <c r="I65" s="133"/>
      <c r="J65" s="133"/>
    </row>
    <row r="66" spans="2:10" ht="15.75" thickBot="1" x14ac:dyDescent="0.3">
      <c r="B66" s="8" t="s">
        <v>42</v>
      </c>
      <c r="C66" s="10">
        <f>SUM(C67:C70)</f>
        <v>0</v>
      </c>
      <c r="D66" s="10">
        <f>SUM(D67:D70)</f>
        <v>38231</v>
      </c>
      <c r="E66" s="14"/>
      <c r="F66" s="10">
        <f>SUM(F67:F70)</f>
        <v>13221</v>
      </c>
      <c r="G66" s="87">
        <f>SUM(G67:G70)</f>
        <v>32397</v>
      </c>
      <c r="H66" s="134"/>
      <c r="I66" s="135"/>
      <c r="J66" s="135"/>
    </row>
    <row r="67" spans="2:10" ht="45.75" thickBot="1" x14ac:dyDescent="0.3">
      <c r="B67" s="9" t="s">
        <v>95</v>
      </c>
      <c r="C67" s="11"/>
      <c r="D67" s="11"/>
      <c r="E67" s="66" t="s">
        <v>50</v>
      </c>
      <c r="F67" s="27">
        <v>10000</v>
      </c>
      <c r="G67" s="77">
        <f t="shared" ref="G67:G69" si="28">C67+D67+F67</f>
        <v>10000</v>
      </c>
      <c r="H67" s="134"/>
      <c r="I67" s="135"/>
      <c r="J67" s="135"/>
    </row>
    <row r="68" spans="2:10" ht="45.75" thickBot="1" x14ac:dyDescent="0.3">
      <c r="B68" s="9" t="s">
        <v>96</v>
      </c>
      <c r="C68" s="11"/>
      <c r="D68" s="85">
        <f>19591+5290</f>
        <v>24881</v>
      </c>
      <c r="E68" s="66" t="s">
        <v>47</v>
      </c>
      <c r="F68" s="27"/>
      <c r="G68" s="77">
        <f>C68+D68+F68-F75</f>
        <v>8826</v>
      </c>
      <c r="H68" s="134"/>
      <c r="I68" s="135"/>
      <c r="J68" s="135"/>
    </row>
    <row r="69" spans="2:10" ht="45.75" thickBot="1" x14ac:dyDescent="0.3">
      <c r="B69" s="9" t="s">
        <v>97</v>
      </c>
      <c r="C69" s="11"/>
      <c r="D69" s="11"/>
      <c r="E69" s="66" t="s">
        <v>150</v>
      </c>
      <c r="F69" s="27"/>
      <c r="G69" s="77">
        <f t="shared" si="28"/>
        <v>0</v>
      </c>
      <c r="H69" s="136"/>
      <c r="I69" s="137"/>
      <c r="J69" s="137"/>
    </row>
    <row r="70" spans="2:10" ht="43.9" customHeight="1" thickBot="1" x14ac:dyDescent="0.3">
      <c r="B70" s="9" t="s">
        <v>107</v>
      </c>
      <c r="C70" s="11"/>
      <c r="D70" s="85">
        <f>13350</f>
        <v>13350</v>
      </c>
      <c r="E70" s="66" t="s">
        <v>148</v>
      </c>
      <c r="F70" s="83">
        <f>G93</f>
        <v>3221</v>
      </c>
      <c r="G70" s="77">
        <f>C70+D70+F70-F73-F74-F78-F79-F80-F81-F82-F83-F84</f>
        <v>13571</v>
      </c>
      <c r="H70" s="144" t="s">
        <v>149</v>
      </c>
      <c r="I70" s="145"/>
      <c r="J70" s="145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46"/>
      <c r="I71" s="147"/>
      <c r="J71" s="147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27055</v>
      </c>
      <c r="G72" s="56">
        <f>SUM(C72+D72+F72)</f>
        <v>27055</v>
      </c>
      <c r="H72" s="130" t="s">
        <v>131</v>
      </c>
      <c r="I72" s="131"/>
      <c r="J72" s="131"/>
    </row>
    <row r="73" spans="2:10" ht="27" customHeight="1" thickBot="1" x14ac:dyDescent="0.3">
      <c r="B73" s="9" t="s">
        <v>98</v>
      </c>
      <c r="C73" s="11"/>
      <c r="D73" s="11"/>
      <c r="E73" s="66" t="s">
        <v>51</v>
      </c>
      <c r="F73" s="69">
        <v>0</v>
      </c>
      <c r="G73" s="17">
        <f t="shared" ref="G73:G76" si="29">SUM(C73+D73+F73)</f>
        <v>0</v>
      </c>
      <c r="H73" s="162" t="s">
        <v>53</v>
      </c>
      <c r="I73" s="162" t="s">
        <v>64</v>
      </c>
      <c r="J73" s="162" t="s">
        <v>132</v>
      </c>
    </row>
    <row r="74" spans="2:10" ht="26.25" thickBot="1" x14ac:dyDescent="0.3">
      <c r="B74" s="9" t="s">
        <v>106</v>
      </c>
      <c r="C74" s="11"/>
      <c r="D74" s="11"/>
      <c r="E74" s="66" t="s">
        <v>51</v>
      </c>
      <c r="F74" s="69">
        <v>3000</v>
      </c>
      <c r="G74" s="77">
        <f t="shared" si="29"/>
        <v>3000</v>
      </c>
      <c r="H74" s="163"/>
      <c r="I74" s="163"/>
      <c r="J74" s="163"/>
    </row>
    <row r="75" spans="2:10" ht="26.25" thickBot="1" x14ac:dyDescent="0.3">
      <c r="B75" s="9" t="s">
        <v>99</v>
      </c>
      <c r="C75" s="11"/>
      <c r="D75" s="11"/>
      <c r="E75" s="66" t="s">
        <v>152</v>
      </c>
      <c r="F75" s="69">
        <v>16055</v>
      </c>
      <c r="G75" s="77">
        <f t="shared" si="29"/>
        <v>16055</v>
      </c>
      <c r="H75" s="163"/>
      <c r="I75" s="163"/>
      <c r="J75" s="163"/>
    </row>
    <row r="76" spans="2:10" ht="26.25" thickBot="1" x14ac:dyDescent="0.3">
      <c r="B76" s="9" t="s">
        <v>100</v>
      </c>
      <c r="C76" s="11"/>
      <c r="D76" s="11"/>
      <c r="E76" s="66" t="s">
        <v>9</v>
      </c>
      <c r="F76" s="69">
        <v>8000</v>
      </c>
      <c r="G76" s="77">
        <f t="shared" si="29"/>
        <v>8000</v>
      </c>
      <c r="H76" s="164"/>
      <c r="I76" s="164"/>
      <c r="J76" s="164"/>
    </row>
    <row r="77" spans="2:10" ht="26.25" thickBot="1" x14ac:dyDescent="0.3">
      <c r="B77" s="8" t="s">
        <v>57</v>
      </c>
      <c r="C77" s="10">
        <f>SUM(C78:C84)</f>
        <v>288170</v>
      </c>
      <c r="D77" s="10">
        <f>SUM(D78:D84)</f>
        <v>0</v>
      </c>
      <c r="E77" s="14"/>
      <c r="F77" s="10">
        <f>SUM(F78:F84)</f>
        <v>0</v>
      </c>
      <c r="G77" s="56">
        <f>SUM(C77+D77+F77)</f>
        <v>288170</v>
      </c>
      <c r="H77" s="62">
        <f>SUM(H78:H84)</f>
        <v>790000</v>
      </c>
      <c r="I77" s="65">
        <f>SUM(I78:I84)</f>
        <v>11830</v>
      </c>
      <c r="J77" s="65">
        <f>SUM(J78:J84)</f>
        <v>1090000</v>
      </c>
    </row>
    <row r="78" spans="2:10" ht="26.25" thickBot="1" x14ac:dyDescent="0.3">
      <c r="B78" s="9" t="s">
        <v>52</v>
      </c>
      <c r="C78" s="11"/>
      <c r="D78" s="11"/>
      <c r="E78" s="159" t="s">
        <v>151</v>
      </c>
      <c r="F78" s="27"/>
      <c r="G78" s="17">
        <f t="shared" ref="G78:G84" si="30">C78+D78+F78</f>
        <v>0</v>
      </c>
      <c r="H78" s="63"/>
      <c r="I78" s="63"/>
      <c r="J78" s="64">
        <f>SUM(G78:I78)</f>
        <v>0</v>
      </c>
    </row>
    <row r="79" spans="2:10" ht="15.75" thickBot="1" x14ac:dyDescent="0.3">
      <c r="B79" s="9" t="s">
        <v>26</v>
      </c>
      <c r="C79" s="85">
        <v>238170</v>
      </c>
      <c r="D79" s="11"/>
      <c r="E79" s="160"/>
      <c r="F79" s="27"/>
      <c r="G79" s="77">
        <f t="shared" si="30"/>
        <v>238170</v>
      </c>
      <c r="H79" s="63"/>
      <c r="I79" s="63">
        <v>11830</v>
      </c>
      <c r="J79" s="64">
        <f t="shared" ref="J79:J84" si="31">SUM(G79:I79)</f>
        <v>250000</v>
      </c>
    </row>
    <row r="80" spans="2:10" ht="15.75" thickBot="1" x14ac:dyDescent="0.3">
      <c r="B80" s="9" t="s">
        <v>25</v>
      </c>
      <c r="C80" s="85">
        <v>50000</v>
      </c>
      <c r="D80" s="11"/>
      <c r="E80" s="160"/>
      <c r="F80" s="27"/>
      <c r="G80" s="77">
        <f t="shared" si="30"/>
        <v>50000</v>
      </c>
      <c r="H80" s="63">
        <v>790000</v>
      </c>
      <c r="I80" s="63"/>
      <c r="J80" s="64">
        <f t="shared" si="31"/>
        <v>840000</v>
      </c>
    </row>
    <row r="81" spans="2:10" ht="15.75" thickBot="1" x14ac:dyDescent="0.3">
      <c r="B81" s="9" t="s">
        <v>62</v>
      </c>
      <c r="C81" s="11"/>
      <c r="D81" s="11"/>
      <c r="E81" s="160"/>
      <c r="F81" s="27"/>
      <c r="G81" s="17"/>
      <c r="H81" s="63"/>
      <c r="I81" s="63"/>
      <c r="J81" s="64"/>
    </row>
    <row r="82" spans="2:10" ht="15.75" thickBot="1" x14ac:dyDescent="0.3">
      <c r="B82" s="9" t="s">
        <v>61</v>
      </c>
      <c r="C82" s="11"/>
      <c r="D82" s="11"/>
      <c r="E82" s="160"/>
      <c r="F82" s="27"/>
      <c r="G82" s="17"/>
      <c r="H82" s="63"/>
      <c r="I82" s="63"/>
      <c r="J82" s="64"/>
    </row>
    <row r="83" spans="2:10" ht="15.75" thickBot="1" x14ac:dyDescent="0.3">
      <c r="B83" s="9" t="s">
        <v>27</v>
      </c>
      <c r="C83" s="11"/>
      <c r="D83" s="11"/>
      <c r="E83" s="160"/>
      <c r="F83" s="27"/>
      <c r="G83" s="17">
        <f t="shared" si="30"/>
        <v>0</v>
      </c>
      <c r="H83" s="63"/>
      <c r="I83" s="63"/>
      <c r="J83" s="64">
        <f t="shared" si="31"/>
        <v>0</v>
      </c>
    </row>
    <row r="84" spans="2:10" ht="15.75" thickBot="1" x14ac:dyDescent="0.3">
      <c r="B84" s="9" t="s">
        <v>135</v>
      </c>
      <c r="C84" s="11"/>
      <c r="D84" s="11"/>
      <c r="E84" s="161"/>
      <c r="F84" s="27"/>
      <c r="G84" s="17">
        <f t="shared" si="30"/>
        <v>0</v>
      </c>
      <c r="H84" s="63"/>
      <c r="I84" s="63"/>
      <c r="J84" s="64">
        <f t="shared" si="31"/>
        <v>0</v>
      </c>
    </row>
    <row r="85" spans="2:10" ht="16.149999999999999" customHeight="1" thickBot="1" x14ac:dyDescent="0.3">
      <c r="B85" s="112" t="s">
        <v>43</v>
      </c>
      <c r="C85" s="107" t="s">
        <v>56</v>
      </c>
      <c r="D85" s="107"/>
      <c r="E85" s="107"/>
      <c r="F85" s="107"/>
      <c r="G85" s="40">
        <f>G62</f>
        <v>1307120</v>
      </c>
      <c r="H85" s="115">
        <f>SUM(G85:G88)</f>
        <v>1654742</v>
      </c>
      <c r="I85" s="117" t="s">
        <v>141</v>
      </c>
      <c r="J85" s="117"/>
    </row>
    <row r="86" spans="2:10" ht="40.9" customHeight="1" thickBot="1" x14ac:dyDescent="0.3">
      <c r="B86" s="113"/>
      <c r="C86" s="107" t="s">
        <v>104</v>
      </c>
      <c r="D86" s="107"/>
      <c r="E86" s="107"/>
      <c r="F86" s="108"/>
      <c r="G86" s="40">
        <f>G66</f>
        <v>32397</v>
      </c>
      <c r="H86" s="116"/>
      <c r="I86" s="118"/>
      <c r="J86" s="118"/>
    </row>
    <row r="87" spans="2:10" ht="16.149999999999999" customHeight="1" thickBot="1" x14ac:dyDescent="0.3">
      <c r="B87" s="113"/>
      <c r="C87" s="107" t="s">
        <v>55</v>
      </c>
      <c r="D87" s="107"/>
      <c r="E87" s="107"/>
      <c r="F87" s="108"/>
      <c r="G87" s="40">
        <f>G72</f>
        <v>27055</v>
      </c>
      <c r="H87" s="116"/>
      <c r="I87" s="119"/>
      <c r="J87" s="119"/>
    </row>
    <row r="88" spans="2:10" ht="19.149999999999999" customHeight="1" thickBot="1" x14ac:dyDescent="0.3">
      <c r="B88" s="114"/>
      <c r="C88" s="107" t="s">
        <v>60</v>
      </c>
      <c r="D88" s="107"/>
      <c r="E88" s="107"/>
      <c r="F88" s="107"/>
      <c r="G88" s="42">
        <f>G77</f>
        <v>288170</v>
      </c>
      <c r="H88" s="116"/>
      <c r="I88" s="120">
        <f>G93</f>
        <v>3221</v>
      </c>
      <c r="J88" s="120"/>
    </row>
    <row r="89" spans="2:10" ht="10.15" customHeight="1" x14ac:dyDescent="0.25">
      <c r="B89" s="5"/>
      <c r="C89" s="13"/>
      <c r="D89" s="13"/>
      <c r="E89" s="13"/>
      <c r="F89" s="28"/>
      <c r="G89" s="16"/>
      <c r="H89" s="13"/>
      <c r="I89" s="13"/>
      <c r="J89" s="28"/>
    </row>
    <row r="90" spans="2:10" ht="9" customHeight="1" thickBot="1" x14ac:dyDescent="0.3">
      <c r="B90" s="5"/>
      <c r="C90" s="13"/>
      <c r="D90" s="13"/>
      <c r="E90" s="13"/>
      <c r="F90" s="28"/>
      <c r="G90" s="16"/>
      <c r="H90" s="13"/>
      <c r="I90" s="13"/>
      <c r="J90" s="28"/>
    </row>
    <row r="91" spans="2:10" ht="25.15" customHeight="1" thickBot="1" x14ac:dyDescent="0.3">
      <c r="B91" s="106" t="s">
        <v>142</v>
      </c>
      <c r="C91" s="106"/>
      <c r="D91" s="106"/>
      <c r="E91" s="106"/>
      <c r="F91" s="106"/>
      <c r="G91" s="106"/>
      <c r="H91" s="106"/>
      <c r="I91" s="106"/>
      <c r="J91" s="106"/>
    </row>
    <row r="92" spans="2:10" ht="45.75" thickBot="1" x14ac:dyDescent="0.3">
      <c r="B92" s="7" t="s">
        <v>32</v>
      </c>
      <c r="C92" s="38" t="s">
        <v>20</v>
      </c>
      <c r="D92" s="37" t="s">
        <v>58</v>
      </c>
      <c r="E92" s="37" t="s">
        <v>39</v>
      </c>
      <c r="F92" s="39" t="s">
        <v>37</v>
      </c>
      <c r="G92" s="39" t="s">
        <v>103</v>
      </c>
      <c r="H92" s="32"/>
      <c r="I92" s="32"/>
      <c r="J92" s="32"/>
    </row>
    <row r="93" spans="2:10" ht="48.75" thickBot="1" x14ac:dyDescent="0.3">
      <c r="B93" s="59" t="s">
        <v>108</v>
      </c>
      <c r="C93" s="12" t="s">
        <v>10</v>
      </c>
      <c r="D93" s="75">
        <v>78000</v>
      </c>
      <c r="E93" s="23">
        <f>F16+F17+F18+F19+F21+F28+F29+F37</f>
        <v>126353</v>
      </c>
      <c r="F93" s="19">
        <f>D93-E93</f>
        <v>-48353</v>
      </c>
      <c r="G93" s="172">
        <f>F93+F94+F97</f>
        <v>3221</v>
      </c>
      <c r="H93" s="33"/>
      <c r="I93" s="33"/>
      <c r="J93" s="33"/>
    </row>
    <row r="94" spans="2:10" ht="16.149999999999999" customHeight="1" thickBot="1" x14ac:dyDescent="0.3">
      <c r="B94" s="22" t="s">
        <v>109</v>
      </c>
      <c r="C94" s="110" t="s">
        <v>9</v>
      </c>
      <c r="D94" s="68">
        <v>60000</v>
      </c>
      <c r="E94" s="110">
        <f>F9+F10+F12+F14+F22+F23+F24+F25+F27+F31+F33+F34+F36+F38+F39+F41+F42+F43+F44+F55+F56+F58+F59+F60+F61+F67+F76</f>
        <v>398426</v>
      </c>
      <c r="F94" s="110">
        <f>D94+D95+D96-E94</f>
        <v>51574</v>
      </c>
      <c r="G94" s="173"/>
      <c r="H94" s="33"/>
      <c r="I94" s="33"/>
      <c r="J94" s="33"/>
    </row>
    <row r="95" spans="2:10" ht="15.75" thickBot="1" x14ac:dyDescent="0.3">
      <c r="B95" s="22" t="s">
        <v>126</v>
      </c>
      <c r="C95" s="111"/>
      <c r="D95" s="68">
        <v>200000</v>
      </c>
      <c r="E95" s="111"/>
      <c r="F95" s="111"/>
      <c r="G95" s="173"/>
      <c r="H95" s="33"/>
      <c r="I95" s="33"/>
      <c r="J95" s="33"/>
    </row>
    <row r="96" spans="2:10" ht="15.75" thickBot="1" x14ac:dyDescent="0.3">
      <c r="B96" s="22" t="s">
        <v>125</v>
      </c>
      <c r="C96" s="111"/>
      <c r="D96" s="68">
        <v>190000</v>
      </c>
      <c r="E96" s="111"/>
      <c r="F96" s="111"/>
      <c r="G96" s="173"/>
      <c r="H96" s="33"/>
      <c r="I96" s="33"/>
      <c r="J96" s="33"/>
    </row>
    <row r="97" spans="2:10" ht="15.75" thickBot="1" x14ac:dyDescent="0.3">
      <c r="B97" s="22" t="s">
        <v>110</v>
      </c>
      <c r="C97" s="110" t="s">
        <v>19</v>
      </c>
      <c r="D97" s="11">
        <v>1500</v>
      </c>
      <c r="E97" s="110">
        <f>F53+F54</f>
        <v>5500</v>
      </c>
      <c r="F97" s="110">
        <f>D97+D98-E97</f>
        <v>0</v>
      </c>
      <c r="G97" s="173"/>
      <c r="H97" s="33"/>
      <c r="I97" s="33"/>
      <c r="J97" s="33"/>
    </row>
    <row r="98" spans="2:10" ht="15.75" thickBot="1" x14ac:dyDescent="0.3">
      <c r="B98" s="22" t="s">
        <v>31</v>
      </c>
      <c r="C98" s="111"/>
      <c r="D98" s="11">
        <v>4000</v>
      </c>
      <c r="E98" s="111"/>
      <c r="F98" s="111"/>
      <c r="G98" s="173"/>
      <c r="H98" s="33"/>
      <c r="I98" s="33"/>
      <c r="J98" s="33"/>
    </row>
    <row r="99" spans="2:10" ht="15.75" thickBot="1" x14ac:dyDescent="0.3">
      <c r="B99" s="109" t="s">
        <v>63</v>
      </c>
      <c r="C99" s="109"/>
      <c r="D99" s="86">
        <f>SUM(D93:D98)</f>
        <v>533500</v>
      </c>
      <c r="E99" s="110"/>
      <c r="F99" s="110"/>
      <c r="G99" s="110"/>
      <c r="H99" s="152" t="s">
        <v>144</v>
      </c>
      <c r="I99" s="153"/>
      <c r="J99" s="153"/>
    </row>
    <row r="100" spans="2:10" ht="15.75" thickBot="1" x14ac:dyDescent="0.3">
      <c r="B100" s="176" t="s">
        <v>33</v>
      </c>
      <c r="C100" s="176"/>
      <c r="D100" s="176"/>
      <c r="E100" s="177"/>
      <c r="F100" s="150" t="s">
        <v>65</v>
      </c>
      <c r="G100" s="150"/>
      <c r="H100" s="150"/>
      <c r="I100" s="150"/>
      <c r="J100" s="150"/>
    </row>
    <row r="101" spans="2:10" ht="15.75" thickBot="1" x14ac:dyDescent="0.3">
      <c r="B101" s="151" t="s">
        <v>111</v>
      </c>
      <c r="C101" s="151"/>
      <c r="D101" s="151"/>
      <c r="E101" s="57">
        <f>G8</f>
        <v>322181</v>
      </c>
      <c r="F101" s="166" t="s">
        <v>137</v>
      </c>
      <c r="G101" s="167"/>
      <c r="H101" s="167"/>
      <c r="I101" s="167"/>
      <c r="J101" s="167"/>
    </row>
    <row r="102" spans="2:10" ht="15.75" thickBot="1" x14ac:dyDescent="0.3">
      <c r="B102" s="151" t="s">
        <v>112</v>
      </c>
      <c r="C102" s="151"/>
      <c r="D102" s="151"/>
      <c r="E102" s="57">
        <f>G11</f>
        <v>70446</v>
      </c>
      <c r="F102" s="168"/>
      <c r="G102" s="169"/>
      <c r="H102" s="169"/>
      <c r="I102" s="169"/>
      <c r="J102" s="169"/>
    </row>
    <row r="103" spans="2:10" ht="15.75" thickBot="1" x14ac:dyDescent="0.3">
      <c r="B103" s="151" t="s">
        <v>113</v>
      </c>
      <c r="C103" s="151"/>
      <c r="D103" s="151"/>
      <c r="E103" s="57">
        <f>G15</f>
        <v>433663</v>
      </c>
      <c r="F103" s="168"/>
      <c r="G103" s="169"/>
      <c r="H103" s="169"/>
      <c r="I103" s="169"/>
      <c r="J103" s="169"/>
    </row>
    <row r="104" spans="2:10" ht="15.75" thickBot="1" x14ac:dyDescent="0.3">
      <c r="B104" s="151" t="s">
        <v>114</v>
      </c>
      <c r="C104" s="151"/>
      <c r="D104" s="151"/>
      <c r="E104" s="57">
        <f>G20</f>
        <v>63872</v>
      </c>
      <c r="F104" s="168"/>
      <c r="G104" s="169"/>
      <c r="H104" s="169"/>
      <c r="I104" s="169"/>
      <c r="J104" s="169"/>
    </row>
    <row r="105" spans="2:10" ht="15.75" thickBot="1" x14ac:dyDescent="0.3">
      <c r="B105" s="151" t="s">
        <v>115</v>
      </c>
      <c r="C105" s="151"/>
      <c r="D105" s="151"/>
      <c r="E105" s="57">
        <f>G26</f>
        <v>79212</v>
      </c>
      <c r="F105" s="170"/>
      <c r="G105" s="171"/>
      <c r="H105" s="171"/>
      <c r="I105" s="171"/>
      <c r="J105" s="171"/>
    </row>
    <row r="106" spans="2:10" ht="15.75" thickBot="1" x14ac:dyDescent="0.3">
      <c r="B106" s="151" t="s">
        <v>116</v>
      </c>
      <c r="C106" s="151"/>
      <c r="D106" s="151"/>
      <c r="E106" s="57">
        <f>G30</f>
        <v>163785</v>
      </c>
      <c r="F106" s="165" t="s">
        <v>143</v>
      </c>
      <c r="G106" s="165"/>
      <c r="H106" s="165"/>
      <c r="I106" s="165"/>
      <c r="J106" s="165"/>
    </row>
    <row r="107" spans="2:10" ht="15.75" thickBot="1" x14ac:dyDescent="0.3">
      <c r="B107" s="151" t="s">
        <v>117</v>
      </c>
      <c r="C107" s="151"/>
      <c r="D107" s="151"/>
      <c r="E107" s="57">
        <f>G35</f>
        <v>53418</v>
      </c>
      <c r="F107" s="156" t="s">
        <v>121</v>
      </c>
      <c r="G107" s="154"/>
      <c r="H107" s="154"/>
      <c r="I107" s="155">
        <f>E111</f>
        <v>1307120</v>
      </c>
      <c r="J107" s="155"/>
    </row>
    <row r="108" spans="2:10" ht="15.75" thickBot="1" x14ac:dyDescent="0.3">
      <c r="B108" s="151" t="s">
        <v>118</v>
      </c>
      <c r="C108" s="151"/>
      <c r="D108" s="151"/>
      <c r="E108" s="57">
        <f>G40</f>
        <v>99143</v>
      </c>
      <c r="F108" s="154" t="s">
        <v>122</v>
      </c>
      <c r="G108" s="154"/>
      <c r="H108" s="154"/>
      <c r="I108" s="155">
        <f>G66</f>
        <v>32397</v>
      </c>
      <c r="J108" s="155"/>
    </row>
    <row r="109" spans="2:10" ht="15.75" thickBot="1" x14ac:dyDescent="0.3">
      <c r="B109" s="151" t="s">
        <v>119</v>
      </c>
      <c r="C109" s="151"/>
      <c r="D109" s="151"/>
      <c r="E109" s="57">
        <f>G52</f>
        <v>11400</v>
      </c>
      <c r="F109" s="154" t="s">
        <v>123</v>
      </c>
      <c r="G109" s="154"/>
      <c r="H109" s="154"/>
      <c r="I109" s="155">
        <f>G72</f>
        <v>27055</v>
      </c>
      <c r="J109" s="155"/>
    </row>
    <row r="110" spans="2:10" ht="28.9" customHeight="1" thickBot="1" x14ac:dyDescent="0.3">
      <c r="B110" s="151" t="s">
        <v>120</v>
      </c>
      <c r="C110" s="151"/>
      <c r="D110" s="151"/>
      <c r="E110" s="57">
        <f>G57</f>
        <v>10000</v>
      </c>
      <c r="F110" s="154" t="s">
        <v>124</v>
      </c>
      <c r="G110" s="154"/>
      <c r="H110" s="154"/>
      <c r="I110" s="155">
        <f>G77</f>
        <v>288170</v>
      </c>
      <c r="J110" s="155"/>
    </row>
    <row r="111" spans="2:10" ht="15.75" thickBot="1" x14ac:dyDescent="0.3">
      <c r="B111" s="138" t="s">
        <v>30</v>
      </c>
      <c r="C111" s="138"/>
      <c r="D111" s="138"/>
      <c r="E111" s="58">
        <f>SUM(E101:E110)</f>
        <v>1307120</v>
      </c>
      <c r="F111" s="174" t="s">
        <v>54</v>
      </c>
      <c r="G111" s="174"/>
      <c r="H111" s="174"/>
      <c r="I111" s="175">
        <f>SUM(I107:J110)</f>
        <v>1654742</v>
      </c>
      <c r="J111" s="175"/>
    </row>
    <row r="112" spans="2:10" x14ac:dyDescent="0.25">
      <c r="B112" s="5"/>
      <c r="C112" s="13"/>
      <c r="D112" s="13"/>
      <c r="E112" s="13"/>
      <c r="F112" s="28"/>
      <c r="G112" s="16"/>
      <c r="H112" s="13"/>
      <c r="I112" s="13"/>
      <c r="J112" s="28"/>
    </row>
    <row r="113" spans="2:10" x14ac:dyDescent="0.25">
      <c r="B113" s="5"/>
      <c r="C113" s="13"/>
      <c r="D113" s="13"/>
      <c r="E113" s="13"/>
      <c r="F113" s="28"/>
      <c r="G113" s="16"/>
      <c r="H113" s="13"/>
      <c r="I113" s="13"/>
      <c r="J113" s="28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F117" s="28"/>
      <c r="G117" s="16"/>
      <c r="H117" s="13"/>
      <c r="I117" s="13"/>
      <c r="J117" s="28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E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2"/>
      <c r="F125" s="29"/>
      <c r="G125" s="3"/>
      <c r="H125" s="2"/>
      <c r="I125" s="2"/>
      <c r="J125" s="29"/>
    </row>
    <row r="126" spans="2:10" ht="15.75" thickBot="1" x14ac:dyDescent="0.3">
      <c r="B126" s="5"/>
      <c r="C126" s="13"/>
      <c r="D126" s="13"/>
      <c r="E126" s="2"/>
      <c r="F126" s="29"/>
      <c r="G126" s="3"/>
      <c r="H126" s="2"/>
      <c r="I126" s="2"/>
      <c r="J126" s="29"/>
    </row>
    <row r="127" spans="2:10" ht="15.75" thickBot="1" x14ac:dyDescent="0.3">
      <c r="B127" s="157" t="s">
        <v>145</v>
      </c>
      <c r="C127" s="158"/>
      <c r="D127" s="158"/>
      <c r="E127" s="70"/>
      <c r="F127" s="157" t="s">
        <v>146</v>
      </c>
      <c r="G127" s="158"/>
      <c r="H127" s="158"/>
      <c r="I127" s="158"/>
      <c r="J127" s="158"/>
    </row>
    <row r="128" spans="2:10" x14ac:dyDescent="0.25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x14ac:dyDescent="0.25">
      <c r="B129" s="5"/>
      <c r="C129" s="13"/>
      <c r="D129" s="13"/>
      <c r="E129" s="2"/>
      <c r="F129" s="29"/>
      <c r="G129" s="3"/>
      <c r="H129" s="2"/>
      <c r="I129" s="2"/>
      <c r="J129" s="29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2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2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2"/>
      <c r="D222" s="2"/>
      <c r="E222" s="2"/>
      <c r="F222" s="29"/>
      <c r="G222" s="2"/>
      <c r="H222" s="2"/>
      <c r="I222" s="2"/>
      <c r="J222" s="29"/>
    </row>
    <row r="223" spans="2:10" x14ac:dyDescent="0.25">
      <c r="B223" s="5"/>
      <c r="C223" s="2"/>
      <c r="D223" s="2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</sheetData>
  <mergeCells count="76">
    <mergeCell ref="B127:D127"/>
    <mergeCell ref="F127:J127"/>
    <mergeCell ref="E78:E84"/>
    <mergeCell ref="I73:I76"/>
    <mergeCell ref="J73:J76"/>
    <mergeCell ref="F106:J106"/>
    <mergeCell ref="F101:J105"/>
    <mergeCell ref="C85:F85"/>
    <mergeCell ref="G93:G98"/>
    <mergeCell ref="H73:H76"/>
    <mergeCell ref="B111:D111"/>
    <mergeCell ref="F111:H111"/>
    <mergeCell ref="I111:J111"/>
    <mergeCell ref="B100:E100"/>
    <mergeCell ref="F100:J100"/>
    <mergeCell ref="B109:D109"/>
    <mergeCell ref="B110:D110"/>
    <mergeCell ref="F110:H110"/>
    <mergeCell ref="I110:J110"/>
    <mergeCell ref="B107:D107"/>
    <mergeCell ref="F107:H107"/>
    <mergeCell ref="I107:J107"/>
    <mergeCell ref="B108:D108"/>
    <mergeCell ref="F108:H108"/>
    <mergeCell ref="I108:J108"/>
    <mergeCell ref="F109:H109"/>
    <mergeCell ref="I109:J109"/>
    <mergeCell ref="B106:D106"/>
    <mergeCell ref="B102:D102"/>
    <mergeCell ref="B103:D103"/>
    <mergeCell ref="B101:D101"/>
    <mergeCell ref="B104:D104"/>
    <mergeCell ref="G64:J64"/>
    <mergeCell ref="C87:F87"/>
    <mergeCell ref="C88:F88"/>
    <mergeCell ref="B105:D105"/>
    <mergeCell ref="H99:J99"/>
    <mergeCell ref="C31:C32"/>
    <mergeCell ref="C41:C44"/>
    <mergeCell ref="H72:J72"/>
    <mergeCell ref="H65:J69"/>
    <mergeCell ref="B63:F63"/>
    <mergeCell ref="H63:J63"/>
    <mergeCell ref="C50:F50"/>
    <mergeCell ref="G50:I50"/>
    <mergeCell ref="F31:F32"/>
    <mergeCell ref="H70:J71"/>
    <mergeCell ref="B47:J47"/>
    <mergeCell ref="B48:B50"/>
    <mergeCell ref="C48:I48"/>
    <mergeCell ref="C49:H49"/>
    <mergeCell ref="I49:J49"/>
    <mergeCell ref="C64:F64"/>
    <mergeCell ref="B4:B6"/>
    <mergeCell ref="B3:J3"/>
    <mergeCell ref="C6:F6"/>
    <mergeCell ref="G6:I6"/>
    <mergeCell ref="C4:I4"/>
    <mergeCell ref="I5:J5"/>
    <mergeCell ref="C5:H5"/>
    <mergeCell ref="E13:F13"/>
    <mergeCell ref="B2:J2"/>
    <mergeCell ref="B91:J91"/>
    <mergeCell ref="C86:F86"/>
    <mergeCell ref="B99:C99"/>
    <mergeCell ref="E99:G99"/>
    <mergeCell ref="E94:E96"/>
    <mergeCell ref="E97:E98"/>
    <mergeCell ref="F94:F96"/>
    <mergeCell ref="F97:F98"/>
    <mergeCell ref="C94:C96"/>
    <mergeCell ref="C97:C98"/>
    <mergeCell ref="B85:B88"/>
    <mergeCell ref="H85:H88"/>
    <mergeCell ref="I85:J87"/>
    <mergeCell ref="I88:J88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89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60"/>
  <sheetViews>
    <sheetView topLeftCell="A70" zoomScale="90" zoomScaleNormal="90" zoomScaleSheetLayoutView="158" workbookViewId="0">
      <selection activeCell="O75" sqref="O75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05" t="s">
        <v>147</v>
      </c>
      <c r="C2" s="105"/>
      <c r="D2" s="105"/>
      <c r="E2" s="105"/>
      <c r="F2" s="105"/>
      <c r="G2" s="105"/>
      <c r="H2" s="105"/>
      <c r="I2" s="105"/>
      <c r="J2" s="105"/>
    </row>
    <row r="3" spans="2:10" ht="18.75" thickBot="1" x14ac:dyDescent="0.3">
      <c r="B3" s="106" t="s">
        <v>154</v>
      </c>
      <c r="C3" s="106"/>
      <c r="D3" s="106"/>
      <c r="E3" s="106"/>
      <c r="F3" s="106"/>
      <c r="G3" s="106"/>
      <c r="H3" s="106"/>
      <c r="I3" s="106"/>
      <c r="J3" s="106"/>
    </row>
    <row r="4" spans="2:10" x14ac:dyDescent="0.25">
      <c r="B4" s="121" t="s">
        <v>153</v>
      </c>
      <c r="C4" s="112" t="s">
        <v>24</v>
      </c>
      <c r="D4" s="112"/>
      <c r="E4" s="112"/>
      <c r="F4" s="112"/>
      <c r="G4" s="112"/>
      <c r="H4" s="112"/>
      <c r="I4" s="112"/>
      <c r="J4" s="24"/>
    </row>
    <row r="5" spans="2:10" x14ac:dyDescent="0.25">
      <c r="B5" s="122"/>
      <c r="C5" s="126"/>
      <c r="D5" s="126"/>
      <c r="E5" s="126"/>
      <c r="F5" s="126"/>
      <c r="G5" s="126"/>
      <c r="H5" s="126"/>
      <c r="I5" s="125" t="s">
        <v>5</v>
      </c>
      <c r="J5" s="125"/>
    </row>
    <row r="6" spans="2:10" ht="15.75" thickBot="1" x14ac:dyDescent="0.3">
      <c r="B6" s="123"/>
      <c r="C6" s="114" t="s">
        <v>7</v>
      </c>
      <c r="D6" s="114"/>
      <c r="E6" s="114"/>
      <c r="F6" s="114"/>
      <c r="G6" s="124" t="s">
        <v>8</v>
      </c>
      <c r="H6" s="124"/>
      <c r="I6" s="124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94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38850</v>
      </c>
      <c r="E8" s="14" t="s">
        <v>40</v>
      </c>
      <c r="F8" s="26">
        <f>G8-C8-D8</f>
        <v>160547</v>
      </c>
      <c r="G8" s="56">
        <f t="shared" ref="G8:G19" si="0">H8+I8</f>
        <v>330564</v>
      </c>
      <c r="H8" s="10">
        <f>SUM(H9:H10)</f>
        <v>314534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93">
        <f>122645+1080+7442</f>
        <v>131167</v>
      </c>
      <c r="D9" s="93">
        <f>2000+1741+7000+290+6593</f>
        <v>17624</v>
      </c>
      <c r="E9" s="91" t="s">
        <v>9</v>
      </c>
      <c r="F9" s="27">
        <f>G9-C9-D9</f>
        <v>123428</v>
      </c>
      <c r="G9" s="77">
        <f t="shared" si="0"/>
        <v>272219</v>
      </c>
      <c r="H9" s="93">
        <f>247806+8383</f>
        <v>256189</v>
      </c>
      <c r="I9" s="93">
        <v>16030</v>
      </c>
      <c r="J9" s="80"/>
    </row>
    <row r="10" spans="2:10" ht="15.75" thickBot="1" x14ac:dyDescent="0.3">
      <c r="B10" s="9" t="s">
        <v>67</v>
      </c>
      <c r="C10" s="11"/>
      <c r="D10" s="93">
        <f>630+500+19836+260</f>
        <v>21226</v>
      </c>
      <c r="E10" s="91" t="s">
        <v>9</v>
      </c>
      <c r="F10" s="27">
        <f>G10-C10-D10</f>
        <v>37119</v>
      </c>
      <c r="G10" s="17">
        <f t="shared" si="0"/>
        <v>58345</v>
      </c>
      <c r="H10" s="93">
        <f>47046+6299+5000</f>
        <v>58345</v>
      </c>
      <c r="I10" s="93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38655</v>
      </c>
      <c r="G11" s="56">
        <f t="shared" si="0"/>
        <v>103877</v>
      </c>
      <c r="H11" s="10">
        <f>SUM(H12:H14)</f>
        <v>102139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93">
        <v>17350</v>
      </c>
      <c r="D12" s="93">
        <f>42+7</f>
        <v>49</v>
      </c>
      <c r="E12" s="91" t="s">
        <v>9</v>
      </c>
      <c r="F12" s="27">
        <f>G12-C12-D12-(D13-H13)</f>
        <v>22037</v>
      </c>
      <c r="G12" s="17">
        <f t="shared" si="0"/>
        <v>43291</v>
      </c>
      <c r="H12" s="11">
        <f>12160+14215+9049-1738+2451+5072+7+337</f>
        <v>41553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93">
        <f>13762+10360+2191-5290</f>
        <v>21023</v>
      </c>
      <c r="E13" s="103" t="s">
        <v>138</v>
      </c>
      <c r="F13" s="104"/>
      <c r="G13" s="17">
        <f t="shared" si="0"/>
        <v>17168</v>
      </c>
      <c r="H13" s="93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91" t="s">
        <v>9</v>
      </c>
      <c r="F14" s="27">
        <f>G14-C14-D14</f>
        <v>16618</v>
      </c>
      <c r="G14" s="17">
        <f t="shared" si="0"/>
        <v>43418</v>
      </c>
      <c r="H14" s="93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324239</v>
      </c>
      <c r="D15" s="10">
        <f>SUM(D16:D19)</f>
        <v>42334</v>
      </c>
      <c r="E15" s="14" t="s">
        <v>35</v>
      </c>
      <c r="F15" s="26">
        <f>G15-C15-D15</f>
        <v>71503</v>
      </c>
      <c r="G15" s="56">
        <f t="shared" si="0"/>
        <v>438076</v>
      </c>
      <c r="H15" s="10">
        <f>SUM(H16:H19)</f>
        <v>391676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93">
        <f>205616+25023</f>
        <v>230639</v>
      </c>
      <c r="D16" s="11">
        <v>4232</v>
      </c>
      <c r="E16" s="91" t="s">
        <v>10</v>
      </c>
      <c r="F16" s="27">
        <f>G16-C16-D16</f>
        <v>42698</v>
      </c>
      <c r="G16" s="17">
        <f t="shared" si="0"/>
        <v>277569</v>
      </c>
      <c r="H16" s="93">
        <f>228301+4413</f>
        <v>232714</v>
      </c>
      <c r="I16" s="93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93">
        <f>32026</f>
        <v>32026</v>
      </c>
      <c r="D17" s="93">
        <v>8116</v>
      </c>
      <c r="E17" s="91" t="s">
        <v>10</v>
      </c>
      <c r="F17" s="27">
        <f>G17-C17-D17</f>
        <v>8567</v>
      </c>
      <c r="G17" s="17">
        <f t="shared" si="0"/>
        <v>48709</v>
      </c>
      <c r="H17" s="93">
        <v>48709</v>
      </c>
      <c r="I17" s="93"/>
      <c r="J17" s="80"/>
    </row>
    <row r="18" spans="2:10" ht="26.25" thickBot="1" x14ac:dyDescent="0.3">
      <c r="B18" s="9" t="s">
        <v>71</v>
      </c>
      <c r="C18" s="93">
        <f>61574</f>
        <v>61574</v>
      </c>
      <c r="D18" s="93">
        <f>26666+3320</f>
        <v>29986</v>
      </c>
      <c r="E18" s="91" t="s">
        <v>10</v>
      </c>
      <c r="F18" s="69">
        <f t="shared" ref="F18:F19" si="3">G18-C18-D18</f>
        <v>18693</v>
      </c>
      <c r="G18" s="17">
        <f t="shared" si="0"/>
        <v>110253</v>
      </c>
      <c r="H18" s="93">
        <v>110253</v>
      </c>
      <c r="I18" s="93"/>
      <c r="J18" s="80"/>
    </row>
    <row r="19" spans="2:10" ht="39" thickBot="1" x14ac:dyDescent="0.3">
      <c r="B19" s="9" t="s">
        <v>130</v>
      </c>
      <c r="C19" s="11"/>
      <c r="D19" s="11"/>
      <c r="E19" s="91" t="s">
        <v>10</v>
      </c>
      <c r="F19" s="27">
        <f t="shared" si="3"/>
        <v>1545</v>
      </c>
      <c r="G19" s="17">
        <f t="shared" si="0"/>
        <v>1545</v>
      </c>
      <c r="H19" s="93"/>
      <c r="I19" s="93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93">
        <v>2302</v>
      </c>
      <c r="D21" s="11"/>
      <c r="E21" s="91" t="s">
        <v>10</v>
      </c>
      <c r="F21" s="27">
        <f>G21-C21-D21</f>
        <v>3958</v>
      </c>
      <c r="G21" s="17">
        <f>H21+I21</f>
        <v>6260</v>
      </c>
      <c r="H21" s="93"/>
      <c r="I21" s="93">
        <v>6260</v>
      </c>
      <c r="J21" s="80">
        <v>2160</v>
      </c>
    </row>
    <row r="22" spans="2:10" ht="26.25" thickBot="1" x14ac:dyDescent="0.3">
      <c r="B22" s="41" t="s">
        <v>73</v>
      </c>
      <c r="C22" s="93">
        <v>9438</v>
      </c>
      <c r="D22" s="11"/>
      <c r="E22" s="91" t="s">
        <v>9</v>
      </c>
      <c r="F22" s="27">
        <f>G22-C22-D22</f>
        <v>15538</v>
      </c>
      <c r="G22" s="17">
        <f>H22+I22</f>
        <v>24976</v>
      </c>
      <c r="H22" s="93"/>
      <c r="I22" s="93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91" t="s">
        <v>9</v>
      </c>
      <c r="F23" s="27">
        <f>G23-C23-D23</f>
        <v>7246</v>
      </c>
      <c r="G23" s="17">
        <f>H23+I23</f>
        <v>7246</v>
      </c>
      <c r="H23" s="93"/>
      <c r="I23" s="93">
        <v>7246</v>
      </c>
      <c r="J23" s="80"/>
    </row>
    <row r="24" spans="2:10" ht="39" thickBot="1" x14ac:dyDescent="0.3">
      <c r="B24" s="41" t="s">
        <v>127</v>
      </c>
      <c r="C24" s="11"/>
      <c r="D24" s="11"/>
      <c r="E24" s="91" t="s">
        <v>9</v>
      </c>
      <c r="F24" s="27">
        <f t="shared" ref="F24:F25" si="4">G24-C24-D24</f>
        <v>25390</v>
      </c>
      <c r="G24" s="17">
        <f>H24+I24</f>
        <v>25390</v>
      </c>
      <c r="H24" s="93"/>
      <c r="I24" s="93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91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91" t="s">
        <v>41</v>
      </c>
      <c r="F27" s="27">
        <f>G27-C27-D27</f>
        <v>10495</v>
      </c>
      <c r="G27" s="17">
        <f>H27+I27</f>
        <v>10495</v>
      </c>
      <c r="H27" s="61"/>
      <c r="I27" s="93">
        <v>10495</v>
      </c>
      <c r="J27" s="81">
        <v>621</v>
      </c>
    </row>
    <row r="28" spans="2:10" ht="39" thickBot="1" x14ac:dyDescent="0.3">
      <c r="B28" s="9" t="s">
        <v>77</v>
      </c>
      <c r="C28" s="93">
        <v>5304</v>
      </c>
      <c r="D28" s="11"/>
      <c r="E28" s="91" t="s">
        <v>10</v>
      </c>
      <c r="F28" s="27">
        <f>G28-C28-D28</f>
        <v>4276</v>
      </c>
      <c r="G28" s="17">
        <f>H28+I28</f>
        <v>9580</v>
      </c>
      <c r="H28" s="61"/>
      <c r="I28" s="93">
        <v>9580</v>
      </c>
      <c r="J28" s="80"/>
    </row>
    <row r="29" spans="2:10" ht="15.75" thickBot="1" x14ac:dyDescent="0.3">
      <c r="B29" s="9" t="s">
        <v>78</v>
      </c>
      <c r="C29" s="93">
        <v>54074</v>
      </c>
      <c r="D29" s="11"/>
      <c r="E29" s="91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93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175363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195583</v>
      </c>
      <c r="H30" s="10">
        <f>SUM(H31:H34)</f>
        <v>195583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27">
        <v>7397</v>
      </c>
      <c r="D31" s="11"/>
      <c r="E31" s="91" t="s">
        <v>9</v>
      </c>
      <c r="F31" s="142">
        <f>(G31+G32)-C31</f>
        <v>12917</v>
      </c>
      <c r="G31" s="17">
        <f>H31+I31</f>
        <v>17195</v>
      </c>
      <c r="H31" s="93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28"/>
      <c r="D32" s="11"/>
      <c r="E32" s="91" t="s">
        <v>9</v>
      </c>
      <c r="F32" s="143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93">
        <f>139331+28573</f>
        <v>167904</v>
      </c>
      <c r="D33" s="11"/>
      <c r="E33" s="91" t="s">
        <v>9</v>
      </c>
      <c r="F33" s="27">
        <f>G33-C33-D33</f>
        <v>7303</v>
      </c>
      <c r="G33" s="17">
        <f>H33+I33</f>
        <v>175207</v>
      </c>
      <c r="H33" s="93">
        <f>139331+11995+28573-4692</f>
        <v>175207</v>
      </c>
      <c r="I33" s="11"/>
      <c r="J33" s="80"/>
    </row>
    <row r="34" spans="2:10" ht="26.25" thickBot="1" x14ac:dyDescent="0.3">
      <c r="B34" s="9" t="s">
        <v>80</v>
      </c>
      <c r="C34" s="93">
        <v>62</v>
      </c>
      <c r="D34" s="11"/>
      <c r="E34" s="91" t="s">
        <v>9</v>
      </c>
      <c r="F34" s="27">
        <f t="shared" ref="F34" si="10">G34-C34-D34</f>
        <v>0</v>
      </c>
      <c r="G34" s="17">
        <f t="shared" ref="G34" si="11">H34+I34</f>
        <v>62</v>
      </c>
      <c r="H34" s="93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26874</v>
      </c>
      <c r="G35" s="56">
        <f>H35+I35</f>
        <v>53418</v>
      </c>
      <c r="H35" s="10">
        <f>SUM(H36:H39)</f>
        <v>36707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93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93">
        <v>28287</v>
      </c>
      <c r="I36" s="93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93"/>
      <c r="I37" s="93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93">
        <v>2254</v>
      </c>
      <c r="I38" s="93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6166</v>
      </c>
      <c r="G39" s="17">
        <f t="shared" si="14"/>
        <v>6166</v>
      </c>
      <c r="H39" s="93">
        <f>5005+1161</f>
        <v>6166</v>
      </c>
      <c r="I39" s="93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80179</v>
      </c>
      <c r="G40" s="56">
        <f>H40+I40</f>
        <v>99143</v>
      </c>
      <c r="H40" s="10">
        <f>SUM(H41:H44)</f>
        <v>1289</v>
      </c>
      <c r="I40" s="10">
        <f>SUM(I41:I44)</f>
        <v>97854</v>
      </c>
      <c r="J40" s="79">
        <f>SUM(J41:J44)</f>
        <v>4760</v>
      </c>
    </row>
    <row r="41" spans="2:10" ht="39" thickBot="1" x14ac:dyDescent="0.3">
      <c r="B41" s="9" t="s">
        <v>129</v>
      </c>
      <c r="C41" s="127">
        <f>12889+6075</f>
        <v>18964</v>
      </c>
      <c r="D41" s="11"/>
      <c r="E41" s="91" t="s">
        <v>9</v>
      </c>
      <c r="F41" s="27">
        <f>G41-C41-D41</f>
        <v>39729</v>
      </c>
      <c r="G41" s="17">
        <f>H41+I41</f>
        <v>58693</v>
      </c>
      <c r="H41" s="93"/>
      <c r="I41" s="93">
        <v>58693</v>
      </c>
      <c r="J41" s="80">
        <v>2372</v>
      </c>
    </row>
    <row r="42" spans="2:10" ht="15.75" thickBot="1" x14ac:dyDescent="0.3">
      <c r="B42" s="9" t="s">
        <v>85</v>
      </c>
      <c r="C42" s="129"/>
      <c r="D42" s="11"/>
      <c r="E42" s="91" t="s">
        <v>9</v>
      </c>
      <c r="F42" s="27">
        <f>G42-C42-D42</f>
        <v>11000</v>
      </c>
      <c r="G42" s="17">
        <f>H42+I42</f>
        <v>11000</v>
      </c>
      <c r="H42" s="93"/>
      <c r="I42" s="93">
        <v>11000</v>
      </c>
      <c r="J42" s="80"/>
    </row>
    <row r="43" spans="2:10" ht="26.25" thickBot="1" x14ac:dyDescent="0.3">
      <c r="B43" s="9" t="s">
        <v>86</v>
      </c>
      <c r="C43" s="129"/>
      <c r="D43" s="11"/>
      <c r="E43" s="91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93">
        <v>1289</v>
      </c>
      <c r="I43" s="93">
        <v>9700</v>
      </c>
      <c r="J43" s="80">
        <v>396</v>
      </c>
    </row>
    <row r="44" spans="2:10" ht="15.75" thickBot="1" x14ac:dyDescent="0.3">
      <c r="B44" s="53" t="s">
        <v>87</v>
      </c>
      <c r="C44" s="128"/>
      <c r="D44" s="95"/>
      <c r="E44" s="91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06" t="s">
        <v>154</v>
      </c>
      <c r="C47" s="106"/>
      <c r="D47" s="106"/>
      <c r="E47" s="106"/>
      <c r="F47" s="106"/>
      <c r="G47" s="106"/>
      <c r="H47" s="106"/>
      <c r="I47" s="106"/>
      <c r="J47" s="106"/>
    </row>
    <row r="48" spans="2:10" ht="15" customHeight="1" x14ac:dyDescent="0.25">
      <c r="B48" s="121" t="s">
        <v>153</v>
      </c>
      <c r="C48" s="112" t="s">
        <v>24</v>
      </c>
      <c r="D48" s="112"/>
      <c r="E48" s="112"/>
      <c r="F48" s="112"/>
      <c r="G48" s="112"/>
      <c r="H48" s="112"/>
      <c r="I48" s="112"/>
      <c r="J48" s="24"/>
    </row>
    <row r="49" spans="2:10" x14ac:dyDescent="0.25">
      <c r="B49" s="122"/>
      <c r="C49" s="126"/>
      <c r="D49" s="126"/>
      <c r="E49" s="126"/>
      <c r="F49" s="126"/>
      <c r="G49" s="126"/>
      <c r="H49" s="126"/>
      <c r="I49" s="125" t="s">
        <v>5</v>
      </c>
      <c r="J49" s="125"/>
    </row>
    <row r="50" spans="2:10" ht="15.75" thickBot="1" x14ac:dyDescent="0.3">
      <c r="B50" s="123"/>
      <c r="C50" s="114" t="s">
        <v>7</v>
      </c>
      <c r="D50" s="114"/>
      <c r="E50" s="114"/>
      <c r="F50" s="114"/>
      <c r="G50" s="124" t="s">
        <v>8</v>
      </c>
      <c r="H50" s="124"/>
      <c r="I50" s="124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94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19200</v>
      </c>
      <c r="G52" s="56">
        <f>H52+I52</f>
        <v>19200</v>
      </c>
      <c r="H52" s="10">
        <f>SUM(H53:H56)</f>
        <v>19200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91" t="s">
        <v>19</v>
      </c>
      <c r="F53" s="27">
        <f>G53-C53-D53</f>
        <v>5800</v>
      </c>
      <c r="G53" s="17">
        <f>H53+I53</f>
        <v>5800</v>
      </c>
      <c r="H53" s="93">
        <f>4000+1800</f>
        <v>5800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91" t="s">
        <v>19</v>
      </c>
      <c r="F54" s="27">
        <f t="shared" ref="F54" si="17">G54-C54-D54</f>
        <v>1500</v>
      </c>
      <c r="G54" s="17">
        <f t="shared" ref="G54" si="18">H54+I54</f>
        <v>1500</v>
      </c>
      <c r="H54" s="93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91" t="s">
        <v>9</v>
      </c>
      <c r="F55" s="27">
        <f>G55-C55-D55</f>
        <v>10800</v>
      </c>
      <c r="G55" s="17">
        <f>H55+I55</f>
        <v>10800</v>
      </c>
      <c r="H55" s="93">
        <f>4800+6000</f>
        <v>10800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91" t="s">
        <v>9</v>
      </c>
      <c r="F56" s="27">
        <f t="shared" ref="F56" si="19">G56-C56-D56</f>
        <v>1100</v>
      </c>
      <c r="G56" s="17">
        <f t="shared" ref="G56" si="20">H56+I56</f>
        <v>1100</v>
      </c>
      <c r="H56" s="93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91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91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91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91" t="s">
        <v>9</v>
      </c>
      <c r="F61" s="27">
        <f>G61-C61-D61</f>
        <v>10000</v>
      </c>
      <c r="G61" s="17">
        <f t="shared" si="23"/>
        <v>10000</v>
      </c>
      <c r="H61" s="93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764745</v>
      </c>
      <c r="D62" s="21">
        <f>D57+D52+D40+D35+D30+D26+D20+D15+D11+D8</f>
        <v>129056</v>
      </c>
      <c r="E62" s="43"/>
      <c r="F62" s="31">
        <f t="shared" si="22"/>
        <v>499144</v>
      </c>
      <c r="G62" s="44">
        <f>G57+G52+G40+G35+G30+G26+G20+G15+G11+G8</f>
        <v>1392945</v>
      </c>
      <c r="H62" s="21">
        <f>H57+H52+H40+H35+H30+H26+H20+H15+H11+H8</f>
        <v>1071128</v>
      </c>
      <c r="I62" s="45">
        <f>I57+I52+I40+I35+I30+I26+I20+I15+I11+I8</f>
        <v>321817</v>
      </c>
      <c r="J62" s="46">
        <f>J57+J52+J40+J35+J30+J26+J20+J15+J11+J8</f>
        <v>278908</v>
      </c>
    </row>
    <row r="63" spans="2:10" ht="25.9" customHeight="1" thickBot="1" x14ac:dyDescent="0.3">
      <c r="B63" s="138" t="s">
        <v>136</v>
      </c>
      <c r="C63" s="138"/>
      <c r="D63" s="138"/>
      <c r="E63" s="138"/>
      <c r="F63" s="139"/>
      <c r="G63" s="74">
        <f>G62-C62-D62-F62</f>
        <v>0</v>
      </c>
      <c r="H63" s="140"/>
      <c r="I63" s="141"/>
      <c r="J63" s="141"/>
    </row>
    <row r="64" spans="2:10" ht="16.149999999999999" customHeight="1" thickBot="1" x14ac:dyDescent="0.3">
      <c r="B64" s="20" t="s">
        <v>34</v>
      </c>
      <c r="C64" s="148" t="s">
        <v>1</v>
      </c>
      <c r="D64" s="148"/>
      <c r="E64" s="148"/>
      <c r="F64" s="149"/>
      <c r="G64" s="150" t="s">
        <v>45</v>
      </c>
      <c r="H64" s="150"/>
      <c r="I64" s="150"/>
      <c r="J64" s="150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2" t="s">
        <v>46</v>
      </c>
      <c r="I65" s="133"/>
      <c r="J65" s="133"/>
    </row>
    <row r="66" spans="2:10" ht="15.75" thickBot="1" x14ac:dyDescent="0.3">
      <c r="B66" s="8" t="s">
        <v>42</v>
      </c>
      <c r="C66" s="10">
        <f>SUM(C67:C70)</f>
        <v>312435</v>
      </c>
      <c r="D66" s="10">
        <f>SUM(D67:D70)</f>
        <v>174046</v>
      </c>
      <c r="E66" s="14"/>
      <c r="F66" s="10">
        <f>SUM(F67:F70)</f>
        <v>26356</v>
      </c>
      <c r="G66" s="87">
        <f>SUM(G67:G70)</f>
        <v>135373</v>
      </c>
      <c r="H66" s="134"/>
      <c r="I66" s="135"/>
      <c r="J66" s="135"/>
    </row>
    <row r="67" spans="2:10" ht="45.75" thickBot="1" x14ac:dyDescent="0.3">
      <c r="B67" s="9" t="s">
        <v>95</v>
      </c>
      <c r="C67" s="11"/>
      <c r="D67" s="11"/>
      <c r="E67" s="96" t="s">
        <v>50</v>
      </c>
      <c r="F67" s="27">
        <f>10000-7981</f>
        <v>2019</v>
      </c>
      <c r="G67" s="77">
        <f>C67+D67+F67</f>
        <v>2019</v>
      </c>
      <c r="H67" s="134"/>
      <c r="I67" s="135"/>
      <c r="J67" s="135"/>
    </row>
    <row r="68" spans="2:10" ht="45.75" thickBot="1" x14ac:dyDescent="0.3">
      <c r="B68" s="9" t="s">
        <v>96</v>
      </c>
      <c r="C68" s="11">
        <v>33790</v>
      </c>
      <c r="D68" s="93">
        <f>19591+5290</f>
        <v>24881</v>
      </c>
      <c r="E68" s="96" t="s">
        <v>47</v>
      </c>
      <c r="F68" s="27"/>
      <c r="G68" s="77">
        <f>C68+D68+F68-F75</f>
        <v>42616</v>
      </c>
      <c r="H68" s="134"/>
      <c r="I68" s="135"/>
      <c r="J68" s="135"/>
    </row>
    <row r="69" spans="2:10" ht="45.75" thickBot="1" x14ac:dyDescent="0.3">
      <c r="B69" s="9" t="s">
        <v>97</v>
      </c>
      <c r="C69" s="11">
        <f>18710</f>
        <v>18710</v>
      </c>
      <c r="D69" s="11"/>
      <c r="E69" s="96" t="s">
        <v>150</v>
      </c>
      <c r="F69" s="27"/>
      <c r="G69" s="77">
        <f t="shared" ref="G69" si="24">C69+D69+F69</f>
        <v>18710</v>
      </c>
      <c r="H69" s="136"/>
      <c r="I69" s="137"/>
      <c r="J69" s="137"/>
    </row>
    <row r="70" spans="2:10" ht="43.9" customHeight="1" thickBot="1" x14ac:dyDescent="0.3">
      <c r="B70" s="9" t="s">
        <v>107</v>
      </c>
      <c r="C70" s="11">
        <f>286735-26800</f>
        <v>259935</v>
      </c>
      <c r="D70" s="93">
        <f>13350+5947+80000+2000+1000+12029+720+960+5000+259+27900</f>
        <v>149165</v>
      </c>
      <c r="E70" s="96" t="s">
        <v>148</v>
      </c>
      <c r="F70" s="83">
        <f>G95</f>
        <v>24337</v>
      </c>
      <c r="G70" s="77">
        <f>C70+D70+F70-F73-F74-F78-F79-F80-F81-F82-F83-F84-F85-F86</f>
        <v>72028</v>
      </c>
      <c r="H70" s="144" t="s">
        <v>149</v>
      </c>
      <c r="I70" s="145"/>
      <c r="J70" s="145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46"/>
      <c r="I71" s="147"/>
      <c r="J71" s="147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162500</v>
      </c>
      <c r="G72" s="56">
        <f>SUM(C72+D72+F72)</f>
        <v>162500</v>
      </c>
      <c r="H72" s="130" t="s">
        <v>131</v>
      </c>
      <c r="I72" s="131"/>
      <c r="J72" s="131"/>
    </row>
    <row r="73" spans="2:10" ht="27" customHeight="1" thickBot="1" x14ac:dyDescent="0.3">
      <c r="B73" s="9" t="s">
        <v>98</v>
      </c>
      <c r="C73" s="11"/>
      <c r="D73" s="11"/>
      <c r="E73" s="96" t="s">
        <v>51</v>
      </c>
      <c r="F73" s="69">
        <f>19341+2663+63503+49938</f>
        <v>135445</v>
      </c>
      <c r="G73" s="17">
        <f t="shared" ref="G73:G76" si="25">SUM(C73+D73+F73)</f>
        <v>135445</v>
      </c>
      <c r="H73" s="162" t="s">
        <v>53</v>
      </c>
      <c r="I73" s="162" t="s">
        <v>64</v>
      </c>
      <c r="J73" s="162" t="s">
        <v>132</v>
      </c>
    </row>
    <row r="74" spans="2:10" ht="26.25" thickBot="1" x14ac:dyDescent="0.3">
      <c r="B74" s="9" t="s">
        <v>106</v>
      </c>
      <c r="C74" s="11"/>
      <c r="D74" s="11"/>
      <c r="E74" s="96" t="s">
        <v>51</v>
      </c>
      <c r="F74" s="69">
        <v>3000</v>
      </c>
      <c r="G74" s="77">
        <f t="shared" si="25"/>
        <v>3000</v>
      </c>
      <c r="H74" s="163"/>
      <c r="I74" s="163"/>
      <c r="J74" s="163"/>
    </row>
    <row r="75" spans="2:10" ht="26.25" thickBot="1" x14ac:dyDescent="0.3">
      <c r="B75" s="9" t="s">
        <v>99</v>
      </c>
      <c r="C75" s="11"/>
      <c r="D75" s="11"/>
      <c r="E75" s="96" t="s">
        <v>152</v>
      </c>
      <c r="F75" s="69">
        <v>16055</v>
      </c>
      <c r="G75" s="77">
        <f t="shared" si="25"/>
        <v>16055</v>
      </c>
      <c r="H75" s="163"/>
      <c r="I75" s="163"/>
      <c r="J75" s="163"/>
    </row>
    <row r="76" spans="2:10" ht="26.25" thickBot="1" x14ac:dyDescent="0.3">
      <c r="B76" s="9" t="s">
        <v>100</v>
      </c>
      <c r="C76" s="11"/>
      <c r="D76" s="11"/>
      <c r="E76" s="96" t="s">
        <v>9</v>
      </c>
      <c r="F76" s="69">
        <v>8000</v>
      </c>
      <c r="G76" s="77">
        <f t="shared" si="25"/>
        <v>8000</v>
      </c>
      <c r="H76" s="164"/>
      <c r="I76" s="164"/>
      <c r="J76" s="164"/>
    </row>
    <row r="77" spans="2:10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222964</v>
      </c>
      <c r="G77" s="56">
        <f>SUM(C77+D77+F77)</f>
        <v>551963</v>
      </c>
      <c r="H77" s="62">
        <f>SUM(H79:H86)</f>
        <v>790000</v>
      </c>
      <c r="I77" s="65">
        <f>SUM(I79:I86)</f>
        <v>103489</v>
      </c>
      <c r="J77" s="65">
        <f>SUM(J79:J86)</f>
        <v>1417488</v>
      </c>
    </row>
    <row r="78" spans="2:10" ht="46.15" customHeight="1" thickBot="1" x14ac:dyDescent="0.3">
      <c r="B78" s="9" t="s">
        <v>52</v>
      </c>
      <c r="C78" s="11"/>
      <c r="D78" s="11"/>
      <c r="E78" s="159" t="s">
        <v>151</v>
      </c>
      <c r="F78" s="27">
        <v>27964</v>
      </c>
      <c r="G78" s="17">
        <f t="shared" ref="G78" si="26">C78+D78+F78</f>
        <v>27964</v>
      </c>
      <c r="H78" s="63"/>
      <c r="I78" s="63"/>
      <c r="J78" s="64">
        <f>SUM(G78:I78)</f>
        <v>27964</v>
      </c>
    </row>
    <row r="79" spans="2:10" ht="15" customHeight="1" thickBot="1" x14ac:dyDescent="0.3">
      <c r="B79" s="9" t="s">
        <v>157</v>
      </c>
      <c r="C79" s="11"/>
      <c r="D79" s="11"/>
      <c r="E79" s="160"/>
      <c r="F79" s="27">
        <v>195000</v>
      </c>
      <c r="G79" s="17">
        <f t="shared" ref="G79:G86" si="27">C79+D79+F79</f>
        <v>195000</v>
      </c>
      <c r="H79" s="63"/>
      <c r="I79" s="63"/>
      <c r="J79" s="64">
        <f>SUM(G79:I79)</f>
        <v>195000</v>
      </c>
    </row>
    <row r="80" spans="2:10" ht="15.75" thickBot="1" x14ac:dyDescent="0.3">
      <c r="B80" s="9" t="s">
        <v>26</v>
      </c>
      <c r="C80" s="93">
        <v>238170</v>
      </c>
      <c r="D80" s="11"/>
      <c r="E80" s="160"/>
      <c r="F80" s="27"/>
      <c r="G80" s="77">
        <f t="shared" si="27"/>
        <v>238170</v>
      </c>
      <c r="H80" s="63"/>
      <c r="I80" s="63">
        <v>11830</v>
      </c>
      <c r="J80" s="64">
        <f t="shared" ref="J80:J86" si="28">SUM(G80:I80)</f>
        <v>250000</v>
      </c>
    </row>
    <row r="81" spans="2:10" ht="15.75" thickBot="1" x14ac:dyDescent="0.3">
      <c r="B81" s="9" t="s">
        <v>25</v>
      </c>
      <c r="C81" s="93">
        <v>50000</v>
      </c>
      <c r="D81" s="11"/>
      <c r="E81" s="160"/>
      <c r="F81" s="27"/>
      <c r="G81" s="77">
        <f t="shared" si="27"/>
        <v>50000</v>
      </c>
      <c r="H81" s="63">
        <v>790000</v>
      </c>
      <c r="I81" s="63"/>
      <c r="J81" s="64">
        <f t="shared" si="28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60"/>
      <c r="F82" s="27"/>
      <c r="G82" s="77">
        <f t="shared" si="27"/>
        <v>39536</v>
      </c>
      <c r="H82" s="63"/>
      <c r="I82" s="63">
        <v>70216</v>
      </c>
      <c r="J82" s="64">
        <f t="shared" si="28"/>
        <v>109752</v>
      </c>
    </row>
    <row r="83" spans="2:10" ht="15.75" thickBot="1" x14ac:dyDescent="0.3">
      <c r="B83" s="9" t="s">
        <v>156</v>
      </c>
      <c r="C83" s="11"/>
      <c r="D83" s="11">
        <v>1293</v>
      </c>
      <c r="E83" s="160"/>
      <c r="F83" s="27"/>
      <c r="G83" s="77">
        <f t="shared" si="27"/>
        <v>1293</v>
      </c>
      <c r="H83" s="63"/>
      <c r="I83" s="63">
        <v>21443</v>
      </c>
      <c r="J83" s="64">
        <f t="shared" si="28"/>
        <v>22736</v>
      </c>
    </row>
    <row r="84" spans="2:10" ht="15.75" thickBot="1" x14ac:dyDescent="0.3">
      <c r="B84" s="9" t="s">
        <v>61</v>
      </c>
      <c r="C84" s="11"/>
      <c r="D84" s="11"/>
      <c r="E84" s="160"/>
      <c r="F84" s="27"/>
      <c r="G84" s="77">
        <f t="shared" si="27"/>
        <v>0</v>
      </c>
      <c r="H84" s="63"/>
      <c r="I84" s="63"/>
      <c r="J84" s="64">
        <f t="shared" si="28"/>
        <v>0</v>
      </c>
    </row>
    <row r="85" spans="2:10" ht="15.75" thickBot="1" x14ac:dyDescent="0.3">
      <c r="B85" s="9" t="s">
        <v>27</v>
      </c>
      <c r="C85" s="11"/>
      <c r="D85" s="11"/>
      <c r="E85" s="160"/>
      <c r="F85" s="27"/>
      <c r="G85" s="17">
        <f t="shared" si="27"/>
        <v>0</v>
      </c>
      <c r="H85" s="63"/>
      <c r="I85" s="63"/>
      <c r="J85" s="64">
        <f t="shared" si="28"/>
        <v>0</v>
      </c>
    </row>
    <row r="86" spans="2:10" ht="15.75" thickBot="1" x14ac:dyDescent="0.3">
      <c r="B86" s="9" t="s">
        <v>135</v>
      </c>
      <c r="C86" s="11"/>
      <c r="D86" s="11"/>
      <c r="E86" s="161"/>
      <c r="F86" s="27"/>
      <c r="G86" s="17">
        <f t="shared" si="27"/>
        <v>0</v>
      </c>
      <c r="H86" s="63"/>
      <c r="I86" s="63"/>
      <c r="J86" s="64">
        <f t="shared" si="28"/>
        <v>0</v>
      </c>
    </row>
    <row r="87" spans="2:10" ht="16.149999999999999" customHeight="1" thickBot="1" x14ac:dyDescent="0.3">
      <c r="B87" s="112" t="s">
        <v>43</v>
      </c>
      <c r="C87" s="107" t="s">
        <v>56</v>
      </c>
      <c r="D87" s="107"/>
      <c r="E87" s="107"/>
      <c r="F87" s="107"/>
      <c r="G87" s="40">
        <f>G62</f>
        <v>1392945</v>
      </c>
      <c r="H87" s="115">
        <f>SUM(G87:G90)</f>
        <v>2242781</v>
      </c>
      <c r="I87" s="117" t="s">
        <v>141</v>
      </c>
      <c r="J87" s="117"/>
    </row>
    <row r="88" spans="2:10" ht="40.9" customHeight="1" thickBot="1" x14ac:dyDescent="0.3">
      <c r="B88" s="113"/>
      <c r="C88" s="107" t="s">
        <v>104</v>
      </c>
      <c r="D88" s="107"/>
      <c r="E88" s="107"/>
      <c r="F88" s="108"/>
      <c r="G88" s="40">
        <f>G66</f>
        <v>135373</v>
      </c>
      <c r="H88" s="116"/>
      <c r="I88" s="118"/>
      <c r="J88" s="118"/>
    </row>
    <row r="89" spans="2:10" ht="16.149999999999999" customHeight="1" thickBot="1" x14ac:dyDescent="0.3">
      <c r="B89" s="113"/>
      <c r="C89" s="107" t="s">
        <v>55</v>
      </c>
      <c r="D89" s="107"/>
      <c r="E89" s="107"/>
      <c r="F89" s="108"/>
      <c r="G89" s="40">
        <f>G72</f>
        <v>162500</v>
      </c>
      <c r="H89" s="116"/>
      <c r="I89" s="119"/>
      <c r="J89" s="119"/>
    </row>
    <row r="90" spans="2:10" ht="19.149999999999999" customHeight="1" thickBot="1" x14ac:dyDescent="0.3">
      <c r="B90" s="114"/>
      <c r="C90" s="107" t="s">
        <v>60</v>
      </c>
      <c r="D90" s="107"/>
      <c r="E90" s="107"/>
      <c r="F90" s="107"/>
      <c r="G90" s="42">
        <f>G77</f>
        <v>551963</v>
      </c>
      <c r="H90" s="116"/>
      <c r="I90" s="120">
        <f>G95</f>
        <v>24337</v>
      </c>
      <c r="J90" s="120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06" t="s">
        <v>154</v>
      </c>
      <c r="C93" s="106"/>
      <c r="D93" s="106"/>
      <c r="E93" s="106"/>
      <c r="F93" s="106"/>
      <c r="G93" s="106"/>
      <c r="H93" s="106"/>
      <c r="I93" s="106"/>
      <c r="J93" s="106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92" t="s">
        <v>10</v>
      </c>
      <c r="D95" s="75">
        <v>78000</v>
      </c>
      <c r="E95" s="23">
        <f>F16+F17+F18+F19+F21+F28+F29+F37</f>
        <v>101511</v>
      </c>
      <c r="F95" s="19">
        <f>D95-E95</f>
        <v>-23511</v>
      </c>
      <c r="G95" s="172">
        <f>F95+F96+F99</f>
        <v>24337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10" t="s">
        <v>9</v>
      </c>
      <c r="D96" s="93">
        <v>60000</v>
      </c>
      <c r="E96" s="110">
        <f>F9+F10+F12+F14+F22+F23+F24+F25+F27+F31+F33+F34+F36+F38+F39+F41+F42+F43+F44+F55+F56+F58+F59+F60+F61+F67+F76</f>
        <v>400352</v>
      </c>
      <c r="F96" s="110">
        <f>D96+D97+D98-E96</f>
        <v>49648</v>
      </c>
      <c r="G96" s="173"/>
      <c r="H96" s="33"/>
      <c r="I96" s="33"/>
      <c r="J96" s="33"/>
    </row>
    <row r="97" spans="2:10" ht="15.75" thickBot="1" x14ac:dyDescent="0.3">
      <c r="B97" s="22" t="s">
        <v>126</v>
      </c>
      <c r="C97" s="111"/>
      <c r="D97" s="93">
        <v>200000</v>
      </c>
      <c r="E97" s="111"/>
      <c r="F97" s="111"/>
      <c r="G97" s="173"/>
      <c r="H97" s="33"/>
      <c r="I97" s="33"/>
      <c r="J97" s="33"/>
    </row>
    <row r="98" spans="2:10" ht="15.75" thickBot="1" x14ac:dyDescent="0.3">
      <c r="B98" s="22" t="s">
        <v>125</v>
      </c>
      <c r="C98" s="111"/>
      <c r="D98" s="93">
        <v>190000</v>
      </c>
      <c r="E98" s="111"/>
      <c r="F98" s="111"/>
      <c r="G98" s="173"/>
      <c r="H98" s="33"/>
      <c r="I98" s="33"/>
      <c r="J98" s="33"/>
    </row>
    <row r="99" spans="2:10" ht="15.75" thickBot="1" x14ac:dyDescent="0.3">
      <c r="B99" s="22" t="s">
        <v>110</v>
      </c>
      <c r="C99" s="110" t="s">
        <v>19</v>
      </c>
      <c r="D99" s="11">
        <v>1500</v>
      </c>
      <c r="E99" s="110">
        <f>F53+F54</f>
        <v>7300</v>
      </c>
      <c r="F99" s="110">
        <f>D99+D100-E99</f>
        <v>-1800</v>
      </c>
      <c r="G99" s="173"/>
      <c r="H99" s="33"/>
      <c r="I99" s="33"/>
      <c r="J99" s="33"/>
    </row>
    <row r="100" spans="2:10" ht="15.75" thickBot="1" x14ac:dyDescent="0.3">
      <c r="B100" s="22" t="s">
        <v>31</v>
      </c>
      <c r="C100" s="111"/>
      <c r="D100" s="11">
        <v>4000</v>
      </c>
      <c r="E100" s="111"/>
      <c r="F100" s="111"/>
      <c r="G100" s="173"/>
      <c r="H100" s="33"/>
      <c r="I100" s="33"/>
      <c r="J100" s="33"/>
    </row>
    <row r="101" spans="2:10" ht="15.75" thickBot="1" x14ac:dyDescent="0.3">
      <c r="B101" s="109" t="s">
        <v>63</v>
      </c>
      <c r="C101" s="109"/>
      <c r="D101" s="86">
        <f>SUM(D95:D100)</f>
        <v>533500</v>
      </c>
      <c r="E101" s="110"/>
      <c r="F101" s="110"/>
      <c r="G101" s="110"/>
      <c r="H101" s="152" t="s">
        <v>144</v>
      </c>
      <c r="I101" s="153"/>
      <c r="J101" s="153"/>
    </row>
    <row r="102" spans="2:10" ht="15.75" thickBot="1" x14ac:dyDescent="0.3">
      <c r="B102" s="176" t="s">
        <v>33</v>
      </c>
      <c r="C102" s="176"/>
      <c r="D102" s="176"/>
      <c r="E102" s="177"/>
      <c r="F102" s="150" t="s">
        <v>65</v>
      </c>
      <c r="G102" s="150"/>
      <c r="H102" s="150"/>
      <c r="I102" s="150"/>
      <c r="J102" s="150"/>
    </row>
    <row r="103" spans="2:10" ht="15.75" thickBot="1" x14ac:dyDescent="0.3">
      <c r="B103" s="151" t="s">
        <v>111</v>
      </c>
      <c r="C103" s="151"/>
      <c r="D103" s="151"/>
      <c r="E103" s="57">
        <f>G8</f>
        <v>330564</v>
      </c>
      <c r="F103" s="166" t="s">
        <v>137</v>
      </c>
      <c r="G103" s="167"/>
      <c r="H103" s="167"/>
      <c r="I103" s="167"/>
      <c r="J103" s="167"/>
    </row>
    <row r="104" spans="2:10" ht="15.75" thickBot="1" x14ac:dyDescent="0.3">
      <c r="B104" s="151" t="s">
        <v>112</v>
      </c>
      <c r="C104" s="151"/>
      <c r="D104" s="151"/>
      <c r="E104" s="57">
        <f>G11</f>
        <v>103877</v>
      </c>
      <c r="F104" s="168"/>
      <c r="G104" s="169"/>
      <c r="H104" s="169"/>
      <c r="I104" s="169"/>
      <c r="J104" s="169"/>
    </row>
    <row r="105" spans="2:10" ht="15.75" thickBot="1" x14ac:dyDescent="0.3">
      <c r="B105" s="151" t="s">
        <v>113</v>
      </c>
      <c r="C105" s="151"/>
      <c r="D105" s="151"/>
      <c r="E105" s="57">
        <f>G15</f>
        <v>438076</v>
      </c>
      <c r="F105" s="168"/>
      <c r="G105" s="169"/>
      <c r="H105" s="169"/>
      <c r="I105" s="169"/>
      <c r="J105" s="169"/>
    </row>
    <row r="106" spans="2:10" ht="15.75" thickBot="1" x14ac:dyDescent="0.3">
      <c r="B106" s="151" t="s">
        <v>114</v>
      </c>
      <c r="C106" s="151"/>
      <c r="D106" s="151"/>
      <c r="E106" s="57">
        <f>G20</f>
        <v>63872</v>
      </c>
      <c r="F106" s="168"/>
      <c r="G106" s="169"/>
      <c r="H106" s="169"/>
      <c r="I106" s="169"/>
      <c r="J106" s="169"/>
    </row>
    <row r="107" spans="2:10" ht="15.75" thickBot="1" x14ac:dyDescent="0.3">
      <c r="B107" s="151" t="s">
        <v>115</v>
      </c>
      <c r="C107" s="151"/>
      <c r="D107" s="151"/>
      <c r="E107" s="57">
        <f>G26</f>
        <v>79212</v>
      </c>
      <c r="F107" s="170"/>
      <c r="G107" s="171"/>
      <c r="H107" s="171"/>
      <c r="I107" s="171"/>
      <c r="J107" s="171"/>
    </row>
    <row r="108" spans="2:10" ht="15.75" thickBot="1" x14ac:dyDescent="0.3">
      <c r="B108" s="151" t="s">
        <v>116</v>
      </c>
      <c r="C108" s="151"/>
      <c r="D108" s="151"/>
      <c r="E108" s="57">
        <f>G30</f>
        <v>195583</v>
      </c>
      <c r="F108" s="165" t="s">
        <v>155</v>
      </c>
      <c r="G108" s="165"/>
      <c r="H108" s="165"/>
      <c r="I108" s="165"/>
      <c r="J108" s="165"/>
    </row>
    <row r="109" spans="2:10" ht="15.75" thickBot="1" x14ac:dyDescent="0.3">
      <c r="B109" s="151" t="s">
        <v>117</v>
      </c>
      <c r="C109" s="151"/>
      <c r="D109" s="151"/>
      <c r="E109" s="57">
        <f>G35</f>
        <v>53418</v>
      </c>
      <c r="F109" s="156" t="s">
        <v>121</v>
      </c>
      <c r="G109" s="154"/>
      <c r="H109" s="154"/>
      <c r="I109" s="155">
        <f>E113</f>
        <v>1392945</v>
      </c>
      <c r="J109" s="155"/>
    </row>
    <row r="110" spans="2:10" ht="15.75" thickBot="1" x14ac:dyDescent="0.3">
      <c r="B110" s="151" t="s">
        <v>118</v>
      </c>
      <c r="C110" s="151"/>
      <c r="D110" s="151"/>
      <c r="E110" s="57">
        <f>G40</f>
        <v>99143</v>
      </c>
      <c r="F110" s="154" t="s">
        <v>122</v>
      </c>
      <c r="G110" s="154"/>
      <c r="H110" s="154"/>
      <c r="I110" s="155">
        <f>G66</f>
        <v>135373</v>
      </c>
      <c r="J110" s="155"/>
    </row>
    <row r="111" spans="2:10" ht="15.75" thickBot="1" x14ac:dyDescent="0.3">
      <c r="B111" s="151" t="s">
        <v>119</v>
      </c>
      <c r="C111" s="151"/>
      <c r="D111" s="151"/>
      <c r="E111" s="57">
        <f>G52</f>
        <v>19200</v>
      </c>
      <c r="F111" s="154" t="s">
        <v>123</v>
      </c>
      <c r="G111" s="154"/>
      <c r="H111" s="154"/>
      <c r="I111" s="155">
        <f>G72</f>
        <v>162500</v>
      </c>
      <c r="J111" s="155"/>
    </row>
    <row r="112" spans="2:10" ht="28.9" customHeight="1" thickBot="1" x14ac:dyDescent="0.3">
      <c r="B112" s="151" t="s">
        <v>120</v>
      </c>
      <c r="C112" s="151"/>
      <c r="D112" s="151"/>
      <c r="E112" s="57">
        <f>G57</f>
        <v>10000</v>
      </c>
      <c r="F112" s="154" t="s">
        <v>124</v>
      </c>
      <c r="G112" s="154"/>
      <c r="H112" s="154"/>
      <c r="I112" s="155">
        <f>G77</f>
        <v>551963</v>
      </c>
      <c r="J112" s="155"/>
    </row>
    <row r="113" spans="2:10" ht="15.75" thickBot="1" x14ac:dyDescent="0.3">
      <c r="B113" s="138" t="s">
        <v>30</v>
      </c>
      <c r="C113" s="138"/>
      <c r="D113" s="138"/>
      <c r="E113" s="58">
        <f>SUM(E103:E112)</f>
        <v>1392945</v>
      </c>
      <c r="F113" s="174" t="s">
        <v>54</v>
      </c>
      <c r="G113" s="174"/>
      <c r="H113" s="174"/>
      <c r="I113" s="175">
        <f>SUM(I109:J112)</f>
        <v>2242781</v>
      </c>
      <c r="J113" s="175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57" t="s">
        <v>145</v>
      </c>
      <c r="C129" s="158"/>
      <c r="D129" s="158"/>
      <c r="E129" s="70"/>
      <c r="F129" s="157" t="s">
        <v>146</v>
      </c>
      <c r="G129" s="158"/>
      <c r="H129" s="158"/>
      <c r="I129" s="158"/>
      <c r="J129" s="158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2:J2"/>
    <mergeCell ref="B3:J3"/>
    <mergeCell ref="B4:B6"/>
    <mergeCell ref="C4:I4"/>
    <mergeCell ref="C5:H5"/>
    <mergeCell ref="I5:J5"/>
    <mergeCell ref="C6:F6"/>
    <mergeCell ref="G6:I6"/>
    <mergeCell ref="H65:J69"/>
    <mergeCell ref="E13:F13"/>
    <mergeCell ref="C31:C32"/>
    <mergeCell ref="F31:F32"/>
    <mergeCell ref="C41:C44"/>
    <mergeCell ref="B47:J47"/>
    <mergeCell ref="B48:B50"/>
    <mergeCell ref="C48:I48"/>
    <mergeCell ref="C49:H49"/>
    <mergeCell ref="I49:J49"/>
    <mergeCell ref="C50:F50"/>
    <mergeCell ref="G50:I50"/>
    <mergeCell ref="B63:F63"/>
    <mergeCell ref="H63:J63"/>
    <mergeCell ref="C64:F64"/>
    <mergeCell ref="G64:J64"/>
    <mergeCell ref="H70:J71"/>
    <mergeCell ref="H72:J72"/>
    <mergeCell ref="H73:H76"/>
    <mergeCell ref="I73:I76"/>
    <mergeCell ref="J73:J76"/>
    <mergeCell ref="B87:B90"/>
    <mergeCell ref="C87:F87"/>
    <mergeCell ref="H87:H90"/>
    <mergeCell ref="I87:J89"/>
    <mergeCell ref="C88:F88"/>
    <mergeCell ref="C89:F89"/>
    <mergeCell ref="C90:F90"/>
    <mergeCell ref="I90:J90"/>
    <mergeCell ref="B93:J93"/>
    <mergeCell ref="G95:G100"/>
    <mergeCell ref="C96:C98"/>
    <mergeCell ref="E96:E98"/>
    <mergeCell ref="F96:F98"/>
    <mergeCell ref="C99:C100"/>
    <mergeCell ref="E99:E100"/>
    <mergeCell ref="F99:F100"/>
    <mergeCell ref="B103:D103"/>
    <mergeCell ref="F103:J107"/>
    <mergeCell ref="B104:D104"/>
    <mergeCell ref="B105:D105"/>
    <mergeCell ref="B106:D106"/>
    <mergeCell ref="B101:C101"/>
    <mergeCell ref="E101:G101"/>
    <mergeCell ref="H101:J101"/>
    <mergeCell ref="B102:E102"/>
    <mergeCell ref="F102:J102"/>
    <mergeCell ref="B108:D108"/>
    <mergeCell ref="F108:J108"/>
    <mergeCell ref="B109:D109"/>
    <mergeCell ref="F109:H109"/>
    <mergeCell ref="I109:J109"/>
    <mergeCell ref="B129:D129"/>
    <mergeCell ref="F129:J129"/>
    <mergeCell ref="E78:E86"/>
    <mergeCell ref="B112:D112"/>
    <mergeCell ref="F112:H112"/>
    <mergeCell ref="I112:J112"/>
    <mergeCell ref="B113:D113"/>
    <mergeCell ref="F113:H113"/>
    <mergeCell ref="I113:J113"/>
    <mergeCell ref="B110:D110"/>
    <mergeCell ref="F110:H110"/>
    <mergeCell ref="I110:J110"/>
    <mergeCell ref="B111:D111"/>
    <mergeCell ref="F111:H111"/>
    <mergeCell ref="I111:J111"/>
    <mergeCell ref="B107:D107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960"/>
  <sheetViews>
    <sheetView tabSelected="1" topLeftCell="A64" zoomScale="90" zoomScaleNormal="90" zoomScaleSheetLayoutView="158" workbookViewId="0">
      <selection activeCell="O82" sqref="O82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05" t="s">
        <v>147</v>
      </c>
      <c r="C2" s="105"/>
      <c r="D2" s="105"/>
      <c r="E2" s="105"/>
      <c r="F2" s="105"/>
      <c r="G2" s="105"/>
      <c r="H2" s="105"/>
      <c r="I2" s="105"/>
      <c r="J2" s="105"/>
    </row>
    <row r="3" spans="2:10" ht="18.75" thickBot="1" x14ac:dyDescent="0.3">
      <c r="B3" s="106" t="s">
        <v>158</v>
      </c>
      <c r="C3" s="106"/>
      <c r="D3" s="106"/>
      <c r="E3" s="106"/>
      <c r="F3" s="106"/>
      <c r="G3" s="106"/>
      <c r="H3" s="106"/>
      <c r="I3" s="106"/>
      <c r="J3" s="106"/>
    </row>
    <row r="4" spans="2:10" x14ac:dyDescent="0.25">
      <c r="B4" s="121" t="s">
        <v>153</v>
      </c>
      <c r="C4" s="112" t="s">
        <v>24</v>
      </c>
      <c r="D4" s="112"/>
      <c r="E4" s="112"/>
      <c r="F4" s="112"/>
      <c r="G4" s="112"/>
      <c r="H4" s="112"/>
      <c r="I4" s="112"/>
      <c r="J4" s="24"/>
    </row>
    <row r="5" spans="2:10" x14ac:dyDescent="0.25">
      <c r="B5" s="122"/>
      <c r="C5" s="126"/>
      <c r="D5" s="126"/>
      <c r="E5" s="126"/>
      <c r="F5" s="126"/>
      <c r="G5" s="126"/>
      <c r="H5" s="126"/>
      <c r="I5" s="125" t="s">
        <v>5</v>
      </c>
      <c r="J5" s="125"/>
    </row>
    <row r="6" spans="2:10" ht="15.75" thickBot="1" x14ac:dyDescent="0.3">
      <c r="B6" s="123"/>
      <c r="C6" s="114" t="s">
        <v>7</v>
      </c>
      <c r="D6" s="114"/>
      <c r="E6" s="114"/>
      <c r="F6" s="114"/>
      <c r="G6" s="124" t="s">
        <v>8</v>
      </c>
      <c r="H6" s="124"/>
      <c r="I6" s="124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100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40642</v>
      </c>
      <c r="E8" s="14" t="s">
        <v>40</v>
      </c>
      <c r="F8" s="26">
        <f>G8-C8-D8</f>
        <v>161547</v>
      </c>
      <c r="G8" s="56">
        <f t="shared" ref="G8:G19" si="0">H8+I8</f>
        <v>333356</v>
      </c>
      <c r="H8" s="10">
        <f>SUM(H9:H10)</f>
        <v>317326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99">
        <f>122645+1080+7442</f>
        <v>131167</v>
      </c>
      <c r="D9" s="99">
        <f>2000+1741+7000+290+6593+522</f>
        <v>18146</v>
      </c>
      <c r="E9" s="97" t="s">
        <v>9</v>
      </c>
      <c r="F9" s="27">
        <f>G9-C9-D9</f>
        <v>124428</v>
      </c>
      <c r="G9" s="77">
        <f t="shared" si="0"/>
        <v>273741</v>
      </c>
      <c r="H9" s="99">
        <f>247806+8383+1522</f>
        <v>257711</v>
      </c>
      <c r="I9" s="99">
        <v>16030</v>
      </c>
      <c r="J9" s="80"/>
    </row>
    <row r="10" spans="2:10" ht="15.75" thickBot="1" x14ac:dyDescent="0.3">
      <c r="B10" s="9" t="s">
        <v>67</v>
      </c>
      <c r="C10" s="11"/>
      <c r="D10" s="99">
        <f>630+500+19836+260+1270</f>
        <v>22496</v>
      </c>
      <c r="E10" s="97" t="s">
        <v>9</v>
      </c>
      <c r="F10" s="27">
        <f>G10-C10-D10</f>
        <v>37119</v>
      </c>
      <c r="G10" s="17">
        <f t="shared" si="0"/>
        <v>59615</v>
      </c>
      <c r="H10" s="99">
        <f>47046+6299+5000+1270</f>
        <v>59615</v>
      </c>
      <c r="I10" s="99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44618</v>
      </c>
      <c r="G11" s="56">
        <f t="shared" si="0"/>
        <v>109840</v>
      </c>
      <c r="H11" s="10">
        <f>SUM(H12:H14)</f>
        <v>108102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99">
        <v>17350</v>
      </c>
      <c r="D12" s="99">
        <f>42+7</f>
        <v>49</v>
      </c>
      <c r="E12" s="97" t="s">
        <v>9</v>
      </c>
      <c r="F12" s="27">
        <f>G12-C12-D12-(D13-H13)</f>
        <v>28000</v>
      </c>
      <c r="G12" s="17">
        <f t="shared" si="0"/>
        <v>49254</v>
      </c>
      <c r="H12" s="11">
        <f>12160+14215+9049-1738+2451+5072+7+337+140+617+2286+136+680+400+714+990</f>
        <v>47516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99">
        <f>13762+10360+2191-5290</f>
        <v>21023</v>
      </c>
      <c r="E13" s="103" t="s">
        <v>138</v>
      </c>
      <c r="F13" s="104"/>
      <c r="G13" s="17">
        <f t="shared" si="0"/>
        <v>17168</v>
      </c>
      <c r="H13" s="99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97" t="s">
        <v>9</v>
      </c>
      <c r="F14" s="27">
        <f>G14-C14-D14</f>
        <v>16618</v>
      </c>
      <c r="G14" s="17">
        <f t="shared" si="0"/>
        <v>43418</v>
      </c>
      <c r="H14" s="99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324239</v>
      </c>
      <c r="D15" s="10">
        <f>SUM(D16:D19)</f>
        <v>42334</v>
      </c>
      <c r="E15" s="14" t="s">
        <v>35</v>
      </c>
      <c r="F15" s="26">
        <f>G15-C15-D15</f>
        <v>71503</v>
      </c>
      <c r="G15" s="56">
        <f t="shared" si="0"/>
        <v>438076</v>
      </c>
      <c r="H15" s="10">
        <f>SUM(H16:H19)</f>
        <v>391676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99">
        <f>205616+25023</f>
        <v>230639</v>
      </c>
      <c r="D16" s="11">
        <v>4232</v>
      </c>
      <c r="E16" s="97" t="s">
        <v>10</v>
      </c>
      <c r="F16" s="27">
        <f>G16-C16-D16</f>
        <v>42698</v>
      </c>
      <c r="G16" s="17">
        <f t="shared" si="0"/>
        <v>277569</v>
      </c>
      <c r="H16" s="99">
        <f>228301+4413</f>
        <v>232714</v>
      </c>
      <c r="I16" s="99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99">
        <f>32026</f>
        <v>32026</v>
      </c>
      <c r="D17" s="99">
        <v>8116</v>
      </c>
      <c r="E17" s="97" t="s">
        <v>10</v>
      </c>
      <c r="F17" s="27">
        <f>G17-C17-D17</f>
        <v>8567</v>
      </c>
      <c r="G17" s="17">
        <f t="shared" si="0"/>
        <v>48709</v>
      </c>
      <c r="H17" s="99">
        <v>48709</v>
      </c>
      <c r="I17" s="99"/>
      <c r="J17" s="80"/>
    </row>
    <row r="18" spans="2:10" ht="26.25" thickBot="1" x14ac:dyDescent="0.3">
      <c r="B18" s="9" t="s">
        <v>71</v>
      </c>
      <c r="C18" s="99">
        <f>61574</f>
        <v>61574</v>
      </c>
      <c r="D18" s="99">
        <f>26666+3320</f>
        <v>29986</v>
      </c>
      <c r="E18" s="97" t="s">
        <v>10</v>
      </c>
      <c r="F18" s="69">
        <f t="shared" ref="F18:F19" si="3">G18-C18-D18</f>
        <v>18693</v>
      </c>
      <c r="G18" s="17">
        <f t="shared" si="0"/>
        <v>110253</v>
      </c>
      <c r="H18" s="99">
        <v>110253</v>
      </c>
      <c r="I18" s="99"/>
      <c r="J18" s="80"/>
    </row>
    <row r="19" spans="2:10" ht="39" thickBot="1" x14ac:dyDescent="0.3">
      <c r="B19" s="9" t="s">
        <v>130</v>
      </c>
      <c r="C19" s="11"/>
      <c r="D19" s="11"/>
      <c r="E19" s="97" t="s">
        <v>10</v>
      </c>
      <c r="F19" s="27">
        <f t="shared" si="3"/>
        <v>1545</v>
      </c>
      <c r="G19" s="17">
        <f t="shared" si="0"/>
        <v>1545</v>
      </c>
      <c r="H19" s="99"/>
      <c r="I19" s="99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99">
        <v>2302</v>
      </c>
      <c r="D21" s="11"/>
      <c r="E21" s="97" t="s">
        <v>10</v>
      </c>
      <c r="F21" s="27">
        <f>G21-C21-D21</f>
        <v>3958</v>
      </c>
      <c r="G21" s="17">
        <f>H21+I21</f>
        <v>6260</v>
      </c>
      <c r="H21" s="99"/>
      <c r="I21" s="99">
        <v>6260</v>
      </c>
      <c r="J21" s="80">
        <v>2160</v>
      </c>
    </row>
    <row r="22" spans="2:10" ht="26.25" thickBot="1" x14ac:dyDescent="0.3">
      <c r="B22" s="41" t="s">
        <v>73</v>
      </c>
      <c r="C22" s="99">
        <v>9438</v>
      </c>
      <c r="D22" s="11"/>
      <c r="E22" s="97" t="s">
        <v>9</v>
      </c>
      <c r="F22" s="27">
        <f>G22-C22-D22</f>
        <v>15538</v>
      </c>
      <c r="G22" s="17">
        <f>H22+I22</f>
        <v>24976</v>
      </c>
      <c r="H22" s="99"/>
      <c r="I22" s="99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97" t="s">
        <v>9</v>
      </c>
      <c r="F23" s="27">
        <f>G23-C23-D23</f>
        <v>7246</v>
      </c>
      <c r="G23" s="17">
        <f>H23+I23</f>
        <v>7246</v>
      </c>
      <c r="H23" s="99"/>
      <c r="I23" s="99">
        <v>7246</v>
      </c>
      <c r="J23" s="80"/>
    </row>
    <row r="24" spans="2:10" ht="39" thickBot="1" x14ac:dyDescent="0.3">
      <c r="B24" s="41" t="s">
        <v>127</v>
      </c>
      <c r="C24" s="11"/>
      <c r="D24" s="11"/>
      <c r="E24" s="97" t="s">
        <v>9</v>
      </c>
      <c r="F24" s="27">
        <f t="shared" ref="F24:F25" si="4">G24-C24-D24</f>
        <v>25390</v>
      </c>
      <c r="G24" s="17">
        <f>H24+I24</f>
        <v>25390</v>
      </c>
      <c r="H24" s="99"/>
      <c r="I24" s="99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97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97" t="s">
        <v>41</v>
      </c>
      <c r="F27" s="27">
        <f>G27-C27-D27</f>
        <v>10495</v>
      </c>
      <c r="G27" s="17">
        <f>H27+I27</f>
        <v>10495</v>
      </c>
      <c r="H27" s="61"/>
      <c r="I27" s="99">
        <v>10495</v>
      </c>
      <c r="J27" s="81">
        <v>621</v>
      </c>
    </row>
    <row r="28" spans="2:10" ht="39" thickBot="1" x14ac:dyDescent="0.3">
      <c r="B28" s="9" t="s">
        <v>77</v>
      </c>
      <c r="C28" s="99">
        <v>5304</v>
      </c>
      <c r="D28" s="11"/>
      <c r="E28" s="97" t="s">
        <v>10</v>
      </c>
      <c r="F28" s="27">
        <f>G28-C28-D28</f>
        <v>4276</v>
      </c>
      <c r="G28" s="17">
        <f>H28+I28</f>
        <v>9580</v>
      </c>
      <c r="H28" s="61"/>
      <c r="I28" s="99">
        <v>9580</v>
      </c>
      <c r="J28" s="80"/>
    </row>
    <row r="29" spans="2:10" ht="15.75" thickBot="1" x14ac:dyDescent="0.3">
      <c r="B29" s="9" t="s">
        <v>78</v>
      </c>
      <c r="C29" s="99">
        <v>54074</v>
      </c>
      <c r="D29" s="11"/>
      <c r="E29" s="97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99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181427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201647</v>
      </c>
      <c r="H30" s="10">
        <f>SUM(H31:H34)</f>
        <v>201647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27">
        <v>7397</v>
      </c>
      <c r="D31" s="11"/>
      <c r="E31" s="97" t="s">
        <v>9</v>
      </c>
      <c r="F31" s="142">
        <f>(G31+G32)-C31</f>
        <v>12917</v>
      </c>
      <c r="G31" s="17">
        <f>H31+I31</f>
        <v>17195</v>
      </c>
      <c r="H31" s="99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28"/>
      <c r="D32" s="11"/>
      <c r="E32" s="97" t="s">
        <v>9</v>
      </c>
      <c r="F32" s="143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99">
        <f>139331+28573+604+5460</f>
        <v>173968</v>
      </c>
      <c r="D33" s="11"/>
      <c r="E33" s="97" t="s">
        <v>9</v>
      </c>
      <c r="F33" s="27">
        <f>G33-C33-D33</f>
        <v>7303</v>
      </c>
      <c r="G33" s="17">
        <f>H33+I33</f>
        <v>181271</v>
      </c>
      <c r="H33" s="99">
        <f>139331+11995+28573-4692+604+5460</f>
        <v>181271</v>
      </c>
      <c r="I33" s="11"/>
      <c r="J33" s="80"/>
    </row>
    <row r="34" spans="2:10" ht="26.25" thickBot="1" x14ac:dyDescent="0.3">
      <c r="B34" s="9" t="s">
        <v>80</v>
      </c>
      <c r="C34" s="99">
        <v>62</v>
      </c>
      <c r="D34" s="11"/>
      <c r="E34" s="97" t="s">
        <v>9</v>
      </c>
      <c r="F34" s="27">
        <f t="shared" ref="F34" si="10">G34-C34-D34</f>
        <v>0</v>
      </c>
      <c r="G34" s="17">
        <f t="shared" ref="G34" si="11">H34+I34</f>
        <v>62</v>
      </c>
      <c r="H34" s="99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30483</v>
      </c>
      <c r="G35" s="56">
        <f>H35+I35</f>
        <v>57027</v>
      </c>
      <c r="H35" s="10">
        <f>SUM(H36:H39)</f>
        <v>40316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99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99">
        <v>28287</v>
      </c>
      <c r="I36" s="99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99"/>
      <c r="I37" s="99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99">
        <v>2254</v>
      </c>
      <c r="I38" s="99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9775</v>
      </c>
      <c r="G39" s="17">
        <f t="shared" si="14"/>
        <v>9775</v>
      </c>
      <c r="H39" s="99">
        <f>5005+1161+3609</f>
        <v>9775</v>
      </c>
      <c r="I39" s="99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88179</v>
      </c>
      <c r="G40" s="56">
        <f>H40+I40</f>
        <v>107143</v>
      </c>
      <c r="H40" s="10">
        <f>SUM(H41:H44)</f>
        <v>1289</v>
      </c>
      <c r="I40" s="10">
        <f>SUM(I41:I44)</f>
        <v>105854</v>
      </c>
      <c r="J40" s="79">
        <f>SUM(J41:J44)</f>
        <v>4760</v>
      </c>
    </row>
    <row r="41" spans="2:10" ht="39" thickBot="1" x14ac:dyDescent="0.3">
      <c r="B41" s="9" t="s">
        <v>129</v>
      </c>
      <c r="C41" s="127">
        <f>12889+6075</f>
        <v>18964</v>
      </c>
      <c r="D41" s="11"/>
      <c r="E41" s="97" t="s">
        <v>9</v>
      </c>
      <c r="F41" s="27">
        <f>G41-C41-D41</f>
        <v>39729</v>
      </c>
      <c r="G41" s="17">
        <f>H41+I41</f>
        <v>58693</v>
      </c>
      <c r="H41" s="99"/>
      <c r="I41" s="99">
        <v>58693</v>
      </c>
      <c r="J41" s="80">
        <v>2372</v>
      </c>
    </row>
    <row r="42" spans="2:10" ht="15.75" thickBot="1" x14ac:dyDescent="0.3">
      <c r="B42" s="9" t="s">
        <v>85</v>
      </c>
      <c r="C42" s="129"/>
      <c r="D42" s="11"/>
      <c r="E42" s="97" t="s">
        <v>9</v>
      </c>
      <c r="F42" s="27">
        <f>G42-C42-D42</f>
        <v>19000</v>
      </c>
      <c r="G42" s="17">
        <f>H42+I42</f>
        <v>19000</v>
      </c>
      <c r="H42" s="99"/>
      <c r="I42" s="99">
        <f>11000+8000</f>
        <v>19000</v>
      </c>
      <c r="J42" s="80"/>
    </row>
    <row r="43" spans="2:10" ht="26.25" thickBot="1" x14ac:dyDescent="0.3">
      <c r="B43" s="9" t="s">
        <v>86</v>
      </c>
      <c r="C43" s="129"/>
      <c r="D43" s="11"/>
      <c r="E43" s="97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99">
        <v>1289</v>
      </c>
      <c r="I43" s="99">
        <v>9700</v>
      </c>
      <c r="J43" s="80">
        <v>396</v>
      </c>
    </row>
    <row r="44" spans="2:10" ht="15.75" thickBot="1" x14ac:dyDescent="0.3">
      <c r="B44" s="53" t="s">
        <v>87</v>
      </c>
      <c r="C44" s="128"/>
      <c r="D44" s="101"/>
      <c r="E44" s="97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06" t="s">
        <v>158</v>
      </c>
      <c r="C47" s="106"/>
      <c r="D47" s="106"/>
      <c r="E47" s="106"/>
      <c r="F47" s="106"/>
      <c r="G47" s="106"/>
      <c r="H47" s="106"/>
      <c r="I47" s="106"/>
      <c r="J47" s="106"/>
    </row>
    <row r="48" spans="2:10" ht="15" customHeight="1" x14ac:dyDescent="0.25">
      <c r="B48" s="121" t="s">
        <v>153</v>
      </c>
      <c r="C48" s="112" t="s">
        <v>24</v>
      </c>
      <c r="D48" s="112"/>
      <c r="E48" s="112"/>
      <c r="F48" s="112"/>
      <c r="G48" s="112"/>
      <c r="H48" s="112"/>
      <c r="I48" s="112"/>
      <c r="J48" s="24"/>
    </row>
    <row r="49" spans="2:10" x14ac:dyDescent="0.25">
      <c r="B49" s="122"/>
      <c r="C49" s="126"/>
      <c r="D49" s="126"/>
      <c r="E49" s="126"/>
      <c r="F49" s="126"/>
      <c r="G49" s="126"/>
      <c r="H49" s="126"/>
      <c r="I49" s="125" t="s">
        <v>5</v>
      </c>
      <c r="J49" s="125"/>
    </row>
    <row r="50" spans="2:10" ht="15.75" thickBot="1" x14ac:dyDescent="0.3">
      <c r="B50" s="123"/>
      <c r="C50" s="114" t="s">
        <v>7</v>
      </c>
      <c r="D50" s="114"/>
      <c r="E50" s="114"/>
      <c r="F50" s="114"/>
      <c r="G50" s="124" t="s">
        <v>8</v>
      </c>
      <c r="H50" s="124"/>
      <c r="I50" s="124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100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19500</v>
      </c>
      <c r="G52" s="56">
        <f>H52+I52</f>
        <v>19500</v>
      </c>
      <c r="H52" s="10">
        <f>SUM(H53:H56)</f>
        <v>19500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97" t="s">
        <v>19</v>
      </c>
      <c r="F53" s="27">
        <f>G53-C53-D53</f>
        <v>6100</v>
      </c>
      <c r="G53" s="17">
        <f>H53+I53</f>
        <v>6100</v>
      </c>
      <c r="H53" s="99">
        <f>4000+1800+300</f>
        <v>6100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97" t="s">
        <v>19</v>
      </c>
      <c r="F54" s="27">
        <f t="shared" ref="F54" si="17">G54-C54-D54</f>
        <v>1500</v>
      </c>
      <c r="G54" s="17">
        <f t="shared" ref="G54" si="18">H54+I54</f>
        <v>1500</v>
      </c>
      <c r="H54" s="99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97" t="s">
        <v>9</v>
      </c>
      <c r="F55" s="27">
        <f>G55-C55-D55</f>
        <v>10800</v>
      </c>
      <c r="G55" s="17">
        <f>H55+I55</f>
        <v>10800</v>
      </c>
      <c r="H55" s="99">
        <f>4800+6000</f>
        <v>10800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97" t="s">
        <v>9</v>
      </c>
      <c r="F56" s="27">
        <f t="shared" ref="F56" si="19">G56-C56-D56</f>
        <v>1100</v>
      </c>
      <c r="G56" s="17">
        <f t="shared" ref="G56" si="20">H56+I56</f>
        <v>1100</v>
      </c>
      <c r="H56" s="99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97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97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97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97" t="s">
        <v>9</v>
      </c>
      <c r="F61" s="27">
        <f>G61-C61-D61</f>
        <v>10000</v>
      </c>
      <c r="G61" s="17">
        <f t="shared" si="23"/>
        <v>10000</v>
      </c>
      <c r="H61" s="99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770809</v>
      </c>
      <c r="D62" s="21">
        <f>D57+D52+D40+D35+D30+D26+D20+D15+D11+D8</f>
        <v>130848</v>
      </c>
      <c r="E62" s="43"/>
      <c r="F62" s="31">
        <f t="shared" si="22"/>
        <v>518016</v>
      </c>
      <c r="G62" s="44">
        <f>G57+G52+G40+G35+G30+G26+G20+G15+G11+G8</f>
        <v>1419673</v>
      </c>
      <c r="H62" s="21">
        <f>H57+H52+H40+H35+H30+H26+H20+H15+H11+H8</f>
        <v>1089856</v>
      </c>
      <c r="I62" s="45">
        <f>I57+I52+I40+I35+I30+I26+I20+I15+I11+I8</f>
        <v>329817</v>
      </c>
      <c r="J62" s="46">
        <f>J57+J52+J40+J35+J30+J26+J20+J15+J11+J8</f>
        <v>278908</v>
      </c>
    </row>
    <row r="63" spans="2:10" ht="25.9" customHeight="1" thickBot="1" x14ac:dyDescent="0.3">
      <c r="B63" s="138" t="s">
        <v>136</v>
      </c>
      <c r="C63" s="138"/>
      <c r="D63" s="138"/>
      <c r="E63" s="138"/>
      <c r="F63" s="139"/>
      <c r="G63" s="74">
        <f>G62-C62-D62-F62</f>
        <v>0</v>
      </c>
      <c r="H63" s="140"/>
      <c r="I63" s="141"/>
      <c r="J63" s="141"/>
    </row>
    <row r="64" spans="2:10" ht="16.149999999999999" customHeight="1" thickBot="1" x14ac:dyDescent="0.3">
      <c r="B64" s="20" t="s">
        <v>34</v>
      </c>
      <c r="C64" s="148" t="s">
        <v>1</v>
      </c>
      <c r="D64" s="148"/>
      <c r="E64" s="148"/>
      <c r="F64" s="149"/>
      <c r="G64" s="150" t="s">
        <v>45</v>
      </c>
      <c r="H64" s="150"/>
      <c r="I64" s="150"/>
      <c r="J64" s="150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2" t="s">
        <v>46</v>
      </c>
      <c r="I65" s="133"/>
      <c r="J65" s="133"/>
    </row>
    <row r="66" spans="2:10" ht="15.75" thickBot="1" x14ac:dyDescent="0.3">
      <c r="B66" s="8" t="s">
        <v>42</v>
      </c>
      <c r="C66" s="10">
        <f>SUM(C67:C70)</f>
        <v>312435</v>
      </c>
      <c r="D66" s="10">
        <f>SUM(D67:D70)</f>
        <v>187169</v>
      </c>
      <c r="E66" s="14"/>
      <c r="F66" s="10">
        <f>SUM(F67:F70)</f>
        <v>15484</v>
      </c>
      <c r="G66" s="87">
        <f>SUM(G67:G70)</f>
        <v>104906</v>
      </c>
      <c r="H66" s="134"/>
      <c r="I66" s="135"/>
      <c r="J66" s="135"/>
    </row>
    <row r="67" spans="2:10" ht="45.75" thickBot="1" x14ac:dyDescent="0.3">
      <c r="B67" s="9" t="s">
        <v>95</v>
      </c>
      <c r="C67" s="11"/>
      <c r="D67" s="11">
        <f>5700+1653+3490</f>
        <v>10843</v>
      </c>
      <c r="E67" s="102" t="s">
        <v>50</v>
      </c>
      <c r="F67" s="27">
        <f>10000-7981-617-680-400-1000-3609-300</f>
        <v>-4587</v>
      </c>
      <c r="G67" s="77">
        <f>C67+D67+F67</f>
        <v>6256</v>
      </c>
      <c r="H67" s="134"/>
      <c r="I67" s="135"/>
      <c r="J67" s="135"/>
    </row>
    <row r="68" spans="2:10" ht="45.75" thickBot="1" x14ac:dyDescent="0.3">
      <c r="B68" s="9" t="s">
        <v>96</v>
      </c>
      <c r="C68" s="11">
        <v>33790</v>
      </c>
      <c r="D68" s="99">
        <f>19591+5290</f>
        <v>24881</v>
      </c>
      <c r="E68" s="102" t="s">
        <v>47</v>
      </c>
      <c r="F68" s="27"/>
      <c r="G68" s="77">
        <f>C68+D68+F68-F75</f>
        <v>42616</v>
      </c>
      <c r="H68" s="134"/>
      <c r="I68" s="135"/>
      <c r="J68" s="135"/>
    </row>
    <row r="69" spans="2:10" ht="45.75" thickBot="1" x14ac:dyDescent="0.3">
      <c r="B69" s="9" t="s">
        <v>97</v>
      </c>
      <c r="C69" s="11">
        <f>18710</f>
        <v>18710</v>
      </c>
      <c r="D69" s="11"/>
      <c r="E69" s="102" t="s">
        <v>150</v>
      </c>
      <c r="F69" s="27"/>
      <c r="G69" s="77">
        <f t="shared" ref="G69" si="24">C69+D69+F69</f>
        <v>18710</v>
      </c>
      <c r="H69" s="136"/>
      <c r="I69" s="137"/>
      <c r="J69" s="137"/>
    </row>
    <row r="70" spans="2:10" ht="43.9" customHeight="1" thickBot="1" x14ac:dyDescent="0.3">
      <c r="B70" s="9" t="s">
        <v>107</v>
      </c>
      <c r="C70" s="11">
        <f>286735-26800</f>
        <v>259935</v>
      </c>
      <c r="D70" s="99">
        <f>13350+5947+80000+2000+1000+12029+720+960+5000+259+27900+380+1900</f>
        <v>151445</v>
      </c>
      <c r="E70" s="102" t="s">
        <v>148</v>
      </c>
      <c r="F70" s="83">
        <f>G95</f>
        <v>20071</v>
      </c>
      <c r="G70" s="77">
        <f>C70+D70+F70-F73-F74-F78-F79-F80-F81-F82-F83-F84-F85-F86</f>
        <v>37324</v>
      </c>
      <c r="H70" s="144" t="s">
        <v>149</v>
      </c>
      <c r="I70" s="145"/>
      <c r="J70" s="145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46"/>
      <c r="I71" s="147"/>
      <c r="J71" s="147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178120</v>
      </c>
      <c r="G72" s="56">
        <f>SUM(C72+D72+F72)</f>
        <v>178120</v>
      </c>
      <c r="H72" s="130" t="s">
        <v>131</v>
      </c>
      <c r="I72" s="131"/>
      <c r="J72" s="131"/>
    </row>
    <row r="73" spans="2:10" ht="27" customHeight="1" thickBot="1" x14ac:dyDescent="0.3">
      <c r="B73" s="9" t="s">
        <v>98</v>
      </c>
      <c r="C73" s="11"/>
      <c r="D73" s="11"/>
      <c r="E73" s="102" t="s">
        <v>51</v>
      </c>
      <c r="F73" s="69">
        <f>19341+2663+63503+49938+381+2610+18879+1750</f>
        <v>159065</v>
      </c>
      <c r="G73" s="17">
        <f t="shared" ref="G73:G75" si="25">SUM(C73+D73+F73)</f>
        <v>159065</v>
      </c>
      <c r="H73" s="162" t="s">
        <v>53</v>
      </c>
      <c r="I73" s="162" t="s">
        <v>64</v>
      </c>
      <c r="J73" s="162" t="s">
        <v>132</v>
      </c>
    </row>
    <row r="74" spans="2:10" ht="26.25" thickBot="1" x14ac:dyDescent="0.3">
      <c r="B74" s="9" t="s">
        <v>106</v>
      </c>
      <c r="C74" s="11"/>
      <c r="D74" s="11"/>
      <c r="E74" s="102" t="s">
        <v>51</v>
      </c>
      <c r="F74" s="69">
        <v>3000</v>
      </c>
      <c r="G74" s="77">
        <f t="shared" si="25"/>
        <v>3000</v>
      </c>
      <c r="H74" s="163"/>
      <c r="I74" s="163"/>
      <c r="J74" s="163"/>
    </row>
    <row r="75" spans="2:10" ht="26.25" thickBot="1" x14ac:dyDescent="0.3">
      <c r="B75" s="9" t="s">
        <v>99</v>
      </c>
      <c r="C75" s="11"/>
      <c r="D75" s="11"/>
      <c r="E75" s="102" t="s">
        <v>152</v>
      </c>
      <c r="F75" s="69">
        <v>16055</v>
      </c>
      <c r="G75" s="77">
        <f t="shared" si="25"/>
        <v>16055</v>
      </c>
      <c r="H75" s="163"/>
      <c r="I75" s="163"/>
      <c r="J75" s="163"/>
    </row>
    <row r="76" spans="2:10" ht="26.25" thickBot="1" x14ac:dyDescent="0.3">
      <c r="B76" s="9" t="s">
        <v>100</v>
      </c>
      <c r="C76" s="11"/>
      <c r="D76" s="11"/>
      <c r="E76" s="102" t="s">
        <v>9</v>
      </c>
      <c r="F76" s="69"/>
      <c r="G76" s="77">
        <f>SUM(C76+D76+F76)</f>
        <v>0</v>
      </c>
      <c r="H76" s="164"/>
      <c r="I76" s="164"/>
      <c r="J76" s="164"/>
    </row>
    <row r="77" spans="2:10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232062</v>
      </c>
      <c r="G77" s="56">
        <f>SUM(C77+D77+F77)</f>
        <v>561061</v>
      </c>
      <c r="H77" s="62">
        <f>SUM(H79:H86)</f>
        <v>790000</v>
      </c>
      <c r="I77" s="65">
        <f>SUM(I79:I86)</f>
        <v>103489</v>
      </c>
      <c r="J77" s="65">
        <f>SUM(J79:J86)</f>
        <v>1426586</v>
      </c>
    </row>
    <row r="78" spans="2:10" ht="46.15" customHeight="1" thickBot="1" x14ac:dyDescent="0.3">
      <c r="B78" s="9" t="s">
        <v>52</v>
      </c>
      <c r="C78" s="11"/>
      <c r="D78" s="11"/>
      <c r="E78" s="159" t="s">
        <v>151</v>
      </c>
      <c r="F78" s="27">
        <v>27964</v>
      </c>
      <c r="G78" s="17">
        <f t="shared" ref="G78:G86" si="26">C78+D78+F78</f>
        <v>27964</v>
      </c>
      <c r="H78" s="63"/>
      <c r="I78" s="63"/>
      <c r="J78" s="64">
        <f>SUM(G78:I78)</f>
        <v>27964</v>
      </c>
    </row>
    <row r="79" spans="2:10" ht="15" customHeight="1" thickBot="1" x14ac:dyDescent="0.3">
      <c r="B79" s="9" t="s">
        <v>157</v>
      </c>
      <c r="C79" s="11"/>
      <c r="D79" s="11"/>
      <c r="E79" s="160"/>
      <c r="F79" s="27">
        <v>195000</v>
      </c>
      <c r="G79" s="17">
        <f t="shared" si="26"/>
        <v>195000</v>
      </c>
      <c r="H79" s="63"/>
      <c r="I79" s="63"/>
      <c r="J79" s="64">
        <f>SUM(G79:I79)</f>
        <v>195000</v>
      </c>
    </row>
    <row r="80" spans="2:10" ht="15.75" thickBot="1" x14ac:dyDescent="0.3">
      <c r="B80" s="9" t="s">
        <v>26</v>
      </c>
      <c r="C80" s="99">
        <v>238170</v>
      </c>
      <c r="D80" s="11"/>
      <c r="E80" s="160"/>
      <c r="F80" s="27"/>
      <c r="G80" s="77">
        <f t="shared" si="26"/>
        <v>238170</v>
      </c>
      <c r="H80" s="63"/>
      <c r="I80" s="63">
        <v>11830</v>
      </c>
      <c r="J80" s="64">
        <f t="shared" ref="J80:J86" si="27">SUM(G80:I80)</f>
        <v>250000</v>
      </c>
    </row>
    <row r="81" spans="2:10" ht="15.75" thickBot="1" x14ac:dyDescent="0.3">
      <c r="B81" s="9" t="s">
        <v>25</v>
      </c>
      <c r="C81" s="99">
        <v>50000</v>
      </c>
      <c r="D81" s="11"/>
      <c r="E81" s="160"/>
      <c r="F81" s="27"/>
      <c r="G81" s="77">
        <f t="shared" si="26"/>
        <v>50000</v>
      </c>
      <c r="H81" s="63">
        <v>790000</v>
      </c>
      <c r="I81" s="63"/>
      <c r="J81" s="64">
        <f t="shared" si="27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60"/>
      <c r="F82" s="27">
        <v>4909</v>
      </c>
      <c r="G82" s="77">
        <f t="shared" si="26"/>
        <v>44445</v>
      </c>
      <c r="H82" s="63"/>
      <c r="I82" s="63">
        <v>70216</v>
      </c>
      <c r="J82" s="64">
        <f t="shared" si="27"/>
        <v>114661</v>
      </c>
    </row>
    <row r="83" spans="2:10" ht="15.75" thickBot="1" x14ac:dyDescent="0.3">
      <c r="B83" s="9" t="s">
        <v>156</v>
      </c>
      <c r="C83" s="11"/>
      <c r="D83" s="11">
        <v>1293</v>
      </c>
      <c r="E83" s="160"/>
      <c r="F83" s="27"/>
      <c r="G83" s="77">
        <f t="shared" si="26"/>
        <v>1293</v>
      </c>
      <c r="H83" s="63"/>
      <c r="I83" s="63">
        <v>21443</v>
      </c>
      <c r="J83" s="64">
        <f t="shared" si="27"/>
        <v>22736</v>
      </c>
    </row>
    <row r="84" spans="2:10" ht="15.75" thickBot="1" x14ac:dyDescent="0.3">
      <c r="B84" s="9" t="s">
        <v>61</v>
      </c>
      <c r="C84" s="11"/>
      <c r="D84" s="11"/>
      <c r="E84" s="160"/>
      <c r="F84" s="27">
        <v>4189</v>
      </c>
      <c r="G84" s="77">
        <f t="shared" si="26"/>
        <v>4189</v>
      </c>
      <c r="H84" s="63"/>
      <c r="I84" s="63"/>
      <c r="J84" s="64">
        <f t="shared" si="27"/>
        <v>4189</v>
      </c>
    </row>
    <row r="85" spans="2:10" ht="15.75" thickBot="1" x14ac:dyDescent="0.3">
      <c r="B85" s="9" t="s">
        <v>27</v>
      </c>
      <c r="C85" s="11"/>
      <c r="D85" s="11"/>
      <c r="E85" s="160"/>
      <c r="F85" s="27"/>
      <c r="G85" s="17">
        <f t="shared" si="26"/>
        <v>0</v>
      </c>
      <c r="H85" s="63"/>
      <c r="I85" s="63"/>
      <c r="J85" s="64">
        <f t="shared" si="27"/>
        <v>0</v>
      </c>
    </row>
    <row r="86" spans="2:10" ht="15.75" thickBot="1" x14ac:dyDescent="0.3">
      <c r="B86" s="9" t="s">
        <v>135</v>
      </c>
      <c r="C86" s="11"/>
      <c r="D86" s="11"/>
      <c r="E86" s="161"/>
      <c r="F86" s="27"/>
      <c r="G86" s="17">
        <f t="shared" si="26"/>
        <v>0</v>
      </c>
      <c r="H86" s="63"/>
      <c r="I86" s="63"/>
      <c r="J86" s="64">
        <f t="shared" si="27"/>
        <v>0</v>
      </c>
    </row>
    <row r="87" spans="2:10" ht="16.149999999999999" customHeight="1" thickBot="1" x14ac:dyDescent="0.3">
      <c r="B87" s="112" t="s">
        <v>43</v>
      </c>
      <c r="C87" s="107" t="s">
        <v>56</v>
      </c>
      <c r="D87" s="107"/>
      <c r="E87" s="107"/>
      <c r="F87" s="107"/>
      <c r="G87" s="40">
        <f>G62</f>
        <v>1419673</v>
      </c>
      <c r="H87" s="115">
        <f>SUM(G87:G90)</f>
        <v>2263760</v>
      </c>
      <c r="I87" s="117" t="s">
        <v>141</v>
      </c>
      <c r="J87" s="117"/>
    </row>
    <row r="88" spans="2:10" ht="40.9" customHeight="1" thickBot="1" x14ac:dyDescent="0.3">
      <c r="B88" s="113"/>
      <c r="C88" s="107" t="s">
        <v>104</v>
      </c>
      <c r="D88" s="107"/>
      <c r="E88" s="107"/>
      <c r="F88" s="108"/>
      <c r="G88" s="40">
        <f>G66</f>
        <v>104906</v>
      </c>
      <c r="H88" s="116"/>
      <c r="I88" s="118"/>
      <c r="J88" s="118"/>
    </row>
    <row r="89" spans="2:10" ht="16.149999999999999" customHeight="1" thickBot="1" x14ac:dyDescent="0.3">
      <c r="B89" s="113"/>
      <c r="C89" s="107" t="s">
        <v>55</v>
      </c>
      <c r="D89" s="107"/>
      <c r="E89" s="107"/>
      <c r="F89" s="108"/>
      <c r="G89" s="40">
        <f>G72</f>
        <v>178120</v>
      </c>
      <c r="H89" s="116"/>
      <c r="I89" s="119"/>
      <c r="J89" s="119"/>
    </row>
    <row r="90" spans="2:10" ht="19.149999999999999" customHeight="1" thickBot="1" x14ac:dyDescent="0.3">
      <c r="B90" s="114"/>
      <c r="C90" s="107" t="s">
        <v>60</v>
      </c>
      <c r="D90" s="107"/>
      <c r="E90" s="107"/>
      <c r="F90" s="107"/>
      <c r="G90" s="42">
        <f>G77</f>
        <v>561061</v>
      </c>
      <c r="H90" s="116"/>
      <c r="I90" s="120">
        <f>G95</f>
        <v>20071</v>
      </c>
      <c r="J90" s="120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06" t="s">
        <v>158</v>
      </c>
      <c r="C93" s="106"/>
      <c r="D93" s="106"/>
      <c r="E93" s="106"/>
      <c r="F93" s="106"/>
      <c r="G93" s="106"/>
      <c r="H93" s="106"/>
      <c r="I93" s="106"/>
      <c r="J93" s="106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98" t="s">
        <v>10</v>
      </c>
      <c r="D95" s="75">
        <v>78000</v>
      </c>
      <c r="E95" s="23">
        <f>F16+F17+F18+F19+F21+F28+F29+F37</f>
        <v>101511</v>
      </c>
      <c r="F95" s="19">
        <f>D95-E95</f>
        <v>-23511</v>
      </c>
      <c r="G95" s="172">
        <f>F95+F96+F99</f>
        <v>20071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10" t="s">
        <v>9</v>
      </c>
      <c r="D96" s="99">
        <v>60000</v>
      </c>
      <c r="E96" s="110">
        <f>F9+F10+F12+F14+F22+F23+F24+F25+F27+F31+F33+F34+F36+F38+F39+F41+F42+F43+F44+F55+F56+F58+F59+F60+F61+F67+F76</f>
        <v>404318</v>
      </c>
      <c r="F96" s="110">
        <f>D96+D97+D98-E96</f>
        <v>45682</v>
      </c>
      <c r="G96" s="173"/>
      <c r="H96" s="33"/>
      <c r="I96" s="33"/>
      <c r="J96" s="33"/>
    </row>
    <row r="97" spans="2:10" ht="15.75" thickBot="1" x14ac:dyDescent="0.3">
      <c r="B97" s="22" t="s">
        <v>126</v>
      </c>
      <c r="C97" s="111"/>
      <c r="D97" s="99">
        <v>200000</v>
      </c>
      <c r="E97" s="111"/>
      <c r="F97" s="111"/>
      <c r="G97" s="173"/>
      <c r="H97" s="33"/>
      <c r="I97" s="33"/>
      <c r="J97" s="33"/>
    </row>
    <row r="98" spans="2:10" ht="15.75" thickBot="1" x14ac:dyDescent="0.3">
      <c r="B98" s="22" t="s">
        <v>125</v>
      </c>
      <c r="C98" s="111"/>
      <c r="D98" s="99">
        <v>190000</v>
      </c>
      <c r="E98" s="111"/>
      <c r="F98" s="111"/>
      <c r="G98" s="173"/>
      <c r="H98" s="33"/>
      <c r="I98" s="33"/>
      <c r="J98" s="33"/>
    </row>
    <row r="99" spans="2:10" ht="15.75" thickBot="1" x14ac:dyDescent="0.3">
      <c r="B99" s="22" t="s">
        <v>110</v>
      </c>
      <c r="C99" s="110" t="s">
        <v>19</v>
      </c>
      <c r="D99" s="11">
        <v>1500</v>
      </c>
      <c r="E99" s="110">
        <f>F53+F54</f>
        <v>7600</v>
      </c>
      <c r="F99" s="110">
        <f>D99+D100-E99</f>
        <v>-2100</v>
      </c>
      <c r="G99" s="173"/>
      <c r="H99" s="33"/>
      <c r="I99" s="33"/>
      <c r="J99" s="33"/>
    </row>
    <row r="100" spans="2:10" ht="15.75" thickBot="1" x14ac:dyDescent="0.3">
      <c r="B100" s="22" t="s">
        <v>31</v>
      </c>
      <c r="C100" s="111"/>
      <c r="D100" s="11">
        <v>4000</v>
      </c>
      <c r="E100" s="111"/>
      <c r="F100" s="111"/>
      <c r="G100" s="173"/>
      <c r="H100" s="33"/>
      <c r="I100" s="33"/>
      <c r="J100" s="33"/>
    </row>
    <row r="101" spans="2:10" ht="15.75" thickBot="1" x14ac:dyDescent="0.3">
      <c r="B101" s="109" t="s">
        <v>63</v>
      </c>
      <c r="C101" s="109"/>
      <c r="D101" s="86">
        <f>SUM(D95:D100)</f>
        <v>533500</v>
      </c>
      <c r="E101" s="110"/>
      <c r="F101" s="110"/>
      <c r="G101" s="110"/>
      <c r="H101" s="152" t="s">
        <v>144</v>
      </c>
      <c r="I101" s="153"/>
      <c r="J101" s="153"/>
    </row>
    <row r="102" spans="2:10" ht="15.75" thickBot="1" x14ac:dyDescent="0.3">
      <c r="B102" s="176" t="s">
        <v>33</v>
      </c>
      <c r="C102" s="176"/>
      <c r="D102" s="176"/>
      <c r="E102" s="177"/>
      <c r="F102" s="150" t="s">
        <v>65</v>
      </c>
      <c r="G102" s="150"/>
      <c r="H102" s="150"/>
      <c r="I102" s="150"/>
      <c r="J102" s="150"/>
    </row>
    <row r="103" spans="2:10" ht="15.75" thickBot="1" x14ac:dyDescent="0.3">
      <c r="B103" s="151" t="s">
        <v>111</v>
      </c>
      <c r="C103" s="151"/>
      <c r="D103" s="151"/>
      <c r="E103" s="57">
        <f>G8</f>
        <v>333356</v>
      </c>
      <c r="F103" s="166" t="s">
        <v>137</v>
      </c>
      <c r="G103" s="167"/>
      <c r="H103" s="167"/>
      <c r="I103" s="167"/>
      <c r="J103" s="167"/>
    </row>
    <row r="104" spans="2:10" ht="15.75" thickBot="1" x14ac:dyDescent="0.3">
      <c r="B104" s="151" t="s">
        <v>112</v>
      </c>
      <c r="C104" s="151"/>
      <c r="D104" s="151"/>
      <c r="E104" s="57">
        <f>G11</f>
        <v>109840</v>
      </c>
      <c r="F104" s="168"/>
      <c r="G104" s="169"/>
      <c r="H104" s="169"/>
      <c r="I104" s="169"/>
      <c r="J104" s="169"/>
    </row>
    <row r="105" spans="2:10" ht="15.75" thickBot="1" x14ac:dyDescent="0.3">
      <c r="B105" s="151" t="s">
        <v>113</v>
      </c>
      <c r="C105" s="151"/>
      <c r="D105" s="151"/>
      <c r="E105" s="57">
        <f>G15</f>
        <v>438076</v>
      </c>
      <c r="F105" s="168"/>
      <c r="G105" s="169"/>
      <c r="H105" s="169"/>
      <c r="I105" s="169"/>
      <c r="J105" s="169"/>
    </row>
    <row r="106" spans="2:10" ht="15.75" thickBot="1" x14ac:dyDescent="0.3">
      <c r="B106" s="151" t="s">
        <v>114</v>
      </c>
      <c r="C106" s="151"/>
      <c r="D106" s="151"/>
      <c r="E106" s="57">
        <f>G20</f>
        <v>63872</v>
      </c>
      <c r="F106" s="168"/>
      <c r="G106" s="169"/>
      <c r="H106" s="169"/>
      <c r="I106" s="169"/>
      <c r="J106" s="169"/>
    </row>
    <row r="107" spans="2:10" ht="15.75" thickBot="1" x14ac:dyDescent="0.3">
      <c r="B107" s="151" t="s">
        <v>115</v>
      </c>
      <c r="C107" s="151"/>
      <c r="D107" s="151"/>
      <c r="E107" s="57">
        <f>G26</f>
        <v>79212</v>
      </c>
      <c r="F107" s="170"/>
      <c r="G107" s="171"/>
      <c r="H107" s="171"/>
      <c r="I107" s="171"/>
      <c r="J107" s="171"/>
    </row>
    <row r="108" spans="2:10" ht="15.75" thickBot="1" x14ac:dyDescent="0.3">
      <c r="B108" s="151" t="s">
        <v>116</v>
      </c>
      <c r="C108" s="151"/>
      <c r="D108" s="151"/>
      <c r="E108" s="57">
        <f>G30</f>
        <v>201647</v>
      </c>
      <c r="F108" s="165" t="s">
        <v>159</v>
      </c>
      <c r="G108" s="165"/>
      <c r="H108" s="165"/>
      <c r="I108" s="165"/>
      <c r="J108" s="165"/>
    </row>
    <row r="109" spans="2:10" ht="15.75" thickBot="1" x14ac:dyDescent="0.3">
      <c r="B109" s="151" t="s">
        <v>117</v>
      </c>
      <c r="C109" s="151"/>
      <c r="D109" s="151"/>
      <c r="E109" s="57">
        <f>G35</f>
        <v>57027</v>
      </c>
      <c r="F109" s="156" t="s">
        <v>121</v>
      </c>
      <c r="G109" s="154"/>
      <c r="H109" s="154"/>
      <c r="I109" s="155">
        <f>E113</f>
        <v>1419673</v>
      </c>
      <c r="J109" s="155"/>
    </row>
    <row r="110" spans="2:10" ht="15.75" thickBot="1" x14ac:dyDescent="0.3">
      <c r="B110" s="151" t="s">
        <v>118</v>
      </c>
      <c r="C110" s="151"/>
      <c r="D110" s="151"/>
      <c r="E110" s="57">
        <f>G40</f>
        <v>107143</v>
      </c>
      <c r="F110" s="154" t="s">
        <v>122</v>
      </c>
      <c r="G110" s="154"/>
      <c r="H110" s="154"/>
      <c r="I110" s="155">
        <f>G66</f>
        <v>104906</v>
      </c>
      <c r="J110" s="155"/>
    </row>
    <row r="111" spans="2:10" ht="15.75" thickBot="1" x14ac:dyDescent="0.3">
      <c r="B111" s="151" t="s">
        <v>119</v>
      </c>
      <c r="C111" s="151"/>
      <c r="D111" s="151"/>
      <c r="E111" s="57">
        <f>G52</f>
        <v>19500</v>
      </c>
      <c r="F111" s="154" t="s">
        <v>123</v>
      </c>
      <c r="G111" s="154"/>
      <c r="H111" s="154"/>
      <c r="I111" s="155">
        <f>G72</f>
        <v>178120</v>
      </c>
      <c r="J111" s="155"/>
    </row>
    <row r="112" spans="2:10" ht="28.9" customHeight="1" thickBot="1" x14ac:dyDescent="0.3">
      <c r="B112" s="151" t="s">
        <v>120</v>
      </c>
      <c r="C112" s="151"/>
      <c r="D112" s="151"/>
      <c r="E112" s="57">
        <f>G57</f>
        <v>10000</v>
      </c>
      <c r="F112" s="154" t="s">
        <v>124</v>
      </c>
      <c r="G112" s="154"/>
      <c r="H112" s="154"/>
      <c r="I112" s="155">
        <f>G77</f>
        <v>561061</v>
      </c>
      <c r="J112" s="155"/>
    </row>
    <row r="113" spans="2:10" ht="15.75" thickBot="1" x14ac:dyDescent="0.3">
      <c r="B113" s="138" t="s">
        <v>30</v>
      </c>
      <c r="C113" s="138"/>
      <c r="D113" s="138"/>
      <c r="E113" s="58">
        <f>SUM(E103:E112)</f>
        <v>1419673</v>
      </c>
      <c r="F113" s="174" t="s">
        <v>54</v>
      </c>
      <c r="G113" s="174"/>
      <c r="H113" s="174"/>
      <c r="I113" s="175">
        <f>SUM(I109:J112)</f>
        <v>2263760</v>
      </c>
      <c r="J113" s="175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57" t="s">
        <v>145</v>
      </c>
      <c r="C129" s="158"/>
      <c r="D129" s="158"/>
      <c r="E129" s="70"/>
      <c r="F129" s="157" t="s">
        <v>146</v>
      </c>
      <c r="G129" s="158"/>
      <c r="H129" s="158"/>
      <c r="I129" s="158"/>
      <c r="J129" s="158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C31:C32"/>
    <mergeCell ref="F31:F32"/>
    <mergeCell ref="C41:C44"/>
    <mergeCell ref="B47:J47"/>
    <mergeCell ref="B2:J2"/>
    <mergeCell ref="B3:J3"/>
    <mergeCell ref="B4:B6"/>
    <mergeCell ref="C4:I4"/>
    <mergeCell ref="C5:H5"/>
    <mergeCell ref="I5:J5"/>
    <mergeCell ref="C6:F6"/>
    <mergeCell ref="G6:I6"/>
    <mergeCell ref="H70:J71"/>
    <mergeCell ref="H72:J72"/>
    <mergeCell ref="H73:H76"/>
    <mergeCell ref="I73:I76"/>
    <mergeCell ref="E13:F13"/>
    <mergeCell ref="H65:J69"/>
    <mergeCell ref="B48:B50"/>
    <mergeCell ref="C48:I48"/>
    <mergeCell ref="C49:H49"/>
    <mergeCell ref="I49:J49"/>
    <mergeCell ref="C50:F50"/>
    <mergeCell ref="G50:I50"/>
    <mergeCell ref="B63:F63"/>
    <mergeCell ref="H63:J63"/>
    <mergeCell ref="C64:F64"/>
    <mergeCell ref="G64:J64"/>
    <mergeCell ref="J73:J76"/>
    <mergeCell ref="B87:B90"/>
    <mergeCell ref="C87:F87"/>
    <mergeCell ref="H87:H90"/>
    <mergeCell ref="I87:J89"/>
    <mergeCell ref="C88:F88"/>
    <mergeCell ref="C89:F89"/>
    <mergeCell ref="C90:F90"/>
    <mergeCell ref="I90:J90"/>
    <mergeCell ref="E78:E86"/>
    <mergeCell ref="B93:J93"/>
    <mergeCell ref="G95:G100"/>
    <mergeCell ref="C96:C98"/>
    <mergeCell ref="E96:E98"/>
    <mergeCell ref="F96:F98"/>
    <mergeCell ref="C99:C100"/>
    <mergeCell ref="E99:E100"/>
    <mergeCell ref="F99:F100"/>
    <mergeCell ref="B103:D103"/>
    <mergeCell ref="F103:J107"/>
    <mergeCell ref="B104:D104"/>
    <mergeCell ref="B105:D105"/>
    <mergeCell ref="B106:D106"/>
    <mergeCell ref="B107:D107"/>
    <mergeCell ref="B101:C101"/>
    <mergeCell ref="E101:G101"/>
    <mergeCell ref="H101:J101"/>
    <mergeCell ref="B102:E102"/>
    <mergeCell ref="F102:J102"/>
    <mergeCell ref="B108:D108"/>
    <mergeCell ref="F108:J108"/>
    <mergeCell ref="B109:D109"/>
    <mergeCell ref="F109:H109"/>
    <mergeCell ref="I109:J109"/>
    <mergeCell ref="B110:D110"/>
    <mergeCell ref="F110:H110"/>
    <mergeCell ref="I110:J110"/>
    <mergeCell ref="B111:D111"/>
    <mergeCell ref="F111:H111"/>
    <mergeCell ref="I111:J111"/>
    <mergeCell ref="B129:D129"/>
    <mergeCell ref="F129:J129"/>
    <mergeCell ref="B112:D112"/>
    <mergeCell ref="F112:H112"/>
    <mergeCell ref="I112:J112"/>
    <mergeCell ref="B113:D113"/>
    <mergeCell ref="F113:H113"/>
    <mergeCell ref="I113:J113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Eredeti Terv 23</vt:lpstr>
      <vt:lpstr>KV MÓD I. 23</vt:lpstr>
      <vt:lpstr>KV MÓD II. 23</vt:lpstr>
      <vt:lpstr>'Eredeti Terv 23'!Nyomtatási_terület</vt:lpstr>
      <vt:lpstr>'KV MÓD I. 23'!Nyomtatási_terület</vt:lpstr>
      <vt:lpstr>'KV MÓD II. 23'!Nyomtatási_terület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2023-09-06T12:10:08Z</cp:lastPrinted>
  <dcterms:created xsi:type="dcterms:W3CDTF">2020-12-11T13:32:47Z</dcterms:created>
  <dcterms:modified xsi:type="dcterms:W3CDTF">2023-09-12T06:32:20Z</dcterms:modified>
</cp:coreProperties>
</file>