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8" windowWidth="14808" windowHeight="8016" tabRatio="844" activeTab="2"/>
  </bookViews>
  <sheets>
    <sheet name="Polgárok közvetlen szolg." sheetId="3" r:id="rId1"/>
    <sheet name="Városigazgatás-Közösségszerv." sheetId="4" r:id="rId2"/>
    <sheet name="Felhalmozási" sheetId="7" r:id="rId3"/>
  </sheets>
  <calcPr calcId="124519"/>
</workbook>
</file>

<file path=xl/calcChain.xml><?xml version="1.0" encoding="utf-8"?>
<calcChain xmlns="http://schemas.openxmlformats.org/spreadsheetml/2006/main">
  <c r="C4" i="7"/>
  <c r="D4"/>
  <c r="F29" i="3"/>
  <c r="F25" i="4"/>
  <c r="F31"/>
  <c r="F32"/>
  <c r="J27" l="1"/>
  <c r="J4"/>
  <c r="D22" i="3" l="1"/>
  <c r="D15" l="1"/>
  <c r="C21" l="1"/>
  <c r="C22"/>
  <c r="C23"/>
  <c r="H17"/>
  <c r="H18"/>
  <c r="H19"/>
  <c r="H20"/>
  <c r="H21"/>
  <c r="H22"/>
  <c r="L11" i="7"/>
  <c r="J3"/>
  <c r="H3" s="1"/>
  <c r="J7"/>
  <c r="J9" i="4"/>
  <c r="C8" i="7"/>
  <c r="C9"/>
  <c r="C10"/>
  <c r="H9"/>
  <c r="H10"/>
  <c r="H11"/>
  <c r="H4"/>
  <c r="H5"/>
  <c r="H6"/>
  <c r="H7"/>
  <c r="H8"/>
  <c r="C5"/>
  <c r="C6"/>
  <c r="C7"/>
  <c r="C11"/>
  <c r="K4"/>
  <c r="D3"/>
  <c r="J30" i="4"/>
  <c r="J10"/>
  <c r="J6"/>
  <c r="H35"/>
  <c r="C35"/>
  <c r="C16"/>
  <c r="C17"/>
  <c r="F17" s="1"/>
  <c r="C18"/>
  <c r="F18" s="1"/>
  <c r="D6"/>
  <c r="D5"/>
  <c r="H11" i="3"/>
  <c r="C11"/>
  <c r="I12" i="7" l="1"/>
  <c r="J12"/>
  <c r="K12"/>
  <c r="G12"/>
  <c r="D12"/>
  <c r="B12"/>
  <c r="D12" i="4"/>
  <c r="C31" l="1"/>
  <c r="B3" i="3"/>
  <c r="H12" i="7" l="1"/>
  <c r="E12"/>
  <c r="F11"/>
  <c r="J25" i="4"/>
  <c r="H27" i="3"/>
  <c r="L27" s="1"/>
  <c r="H26"/>
  <c r="L26" s="1"/>
  <c r="E3"/>
  <c r="C3" s="1"/>
  <c r="C12" i="4"/>
  <c r="F12" s="1"/>
  <c r="L35"/>
  <c r="F35"/>
  <c r="C3" i="7"/>
  <c r="L8"/>
  <c r="F7"/>
  <c r="L6"/>
  <c r="F6"/>
  <c r="F5"/>
  <c r="C24" i="4"/>
  <c r="F24" s="1"/>
  <c r="C25"/>
  <c r="D25"/>
  <c r="E25"/>
  <c r="C12" i="3"/>
  <c r="F12" s="1"/>
  <c r="B13"/>
  <c r="B29" s="1"/>
  <c r="E20" i="4"/>
  <c r="D20"/>
  <c r="H20"/>
  <c r="H27"/>
  <c r="L27" s="1"/>
  <c r="H28"/>
  <c r="L28" s="1"/>
  <c r="H29"/>
  <c r="L29" s="1"/>
  <c r="H30"/>
  <c r="L30" s="1"/>
  <c r="H31"/>
  <c r="L31" s="1"/>
  <c r="H26"/>
  <c r="L26" s="1"/>
  <c r="H23"/>
  <c r="H24"/>
  <c r="L24" s="1"/>
  <c r="H15"/>
  <c r="H16"/>
  <c r="H17"/>
  <c r="H18"/>
  <c r="H19"/>
  <c r="H21"/>
  <c r="H14"/>
  <c r="H10"/>
  <c r="L10" s="1"/>
  <c r="H11"/>
  <c r="H12"/>
  <c r="H9"/>
  <c r="L9" s="1"/>
  <c r="H5"/>
  <c r="L5" s="1"/>
  <c r="H6"/>
  <c r="L6" s="1"/>
  <c r="H7"/>
  <c r="H4"/>
  <c r="L4" s="1"/>
  <c r="E13"/>
  <c r="D13"/>
  <c r="K8"/>
  <c r="J8"/>
  <c r="I8"/>
  <c r="C11"/>
  <c r="F11" s="1"/>
  <c r="E8"/>
  <c r="C7"/>
  <c r="F7" s="1"/>
  <c r="C19"/>
  <c r="F19" s="1"/>
  <c r="K25"/>
  <c r="K3"/>
  <c r="J3"/>
  <c r="H13"/>
  <c r="I3"/>
  <c r="C15"/>
  <c r="C21"/>
  <c r="F21" s="1"/>
  <c r="C14"/>
  <c r="C9"/>
  <c r="C5"/>
  <c r="F5" s="1"/>
  <c r="C6"/>
  <c r="F6" s="1"/>
  <c r="C4"/>
  <c r="F4" s="1"/>
  <c r="E3"/>
  <c r="D3"/>
  <c r="G25" i="3"/>
  <c r="G13"/>
  <c r="G3"/>
  <c r="I25" i="4"/>
  <c r="C23"/>
  <c r="K22"/>
  <c r="J22"/>
  <c r="I22"/>
  <c r="E22"/>
  <c r="D22"/>
  <c r="H28" i="3"/>
  <c r="L28" s="1"/>
  <c r="K25"/>
  <c r="J25"/>
  <c r="I25"/>
  <c r="H24"/>
  <c r="L24" s="1"/>
  <c r="C24"/>
  <c r="F24" s="1"/>
  <c r="H23"/>
  <c r="L23" s="1"/>
  <c r="F23"/>
  <c r="L22"/>
  <c r="F22"/>
  <c r="L20"/>
  <c r="C20"/>
  <c r="F20" s="1"/>
  <c r="C19"/>
  <c r="F19" s="1"/>
  <c r="C18"/>
  <c r="F18" s="1"/>
  <c r="C17"/>
  <c r="F17" s="1"/>
  <c r="H16"/>
  <c r="L16" s="1"/>
  <c r="C16"/>
  <c r="F16" s="1"/>
  <c r="H15"/>
  <c r="L15" s="1"/>
  <c r="C15"/>
  <c r="F15" s="1"/>
  <c r="H14"/>
  <c r="L14" s="1"/>
  <c r="C14"/>
  <c r="F14" s="1"/>
  <c r="K13"/>
  <c r="J13"/>
  <c r="I13"/>
  <c r="E13"/>
  <c r="E29" s="1"/>
  <c r="D13"/>
  <c r="D29" s="1"/>
  <c r="H10"/>
  <c r="L10" s="1"/>
  <c r="C10"/>
  <c r="F10" s="1"/>
  <c r="H9"/>
  <c r="L9" s="1"/>
  <c r="C9"/>
  <c r="F9" s="1"/>
  <c r="H8"/>
  <c r="L8" s="1"/>
  <c r="C8"/>
  <c r="F8" s="1"/>
  <c r="H7"/>
  <c r="C7"/>
  <c r="F7" s="1"/>
  <c r="H6"/>
  <c r="L6" s="1"/>
  <c r="C6"/>
  <c r="F6" s="1"/>
  <c r="H5"/>
  <c r="L5" s="1"/>
  <c r="C5"/>
  <c r="F5" s="1"/>
  <c r="H4"/>
  <c r="C4"/>
  <c r="F4" s="1"/>
  <c r="K3"/>
  <c r="J3"/>
  <c r="I3"/>
  <c r="K29" l="1"/>
  <c r="J29"/>
  <c r="G29"/>
  <c r="I29"/>
  <c r="F3" i="7"/>
  <c r="C12"/>
  <c r="F12" s="1"/>
  <c r="F3" i="3"/>
  <c r="H3"/>
  <c r="H13"/>
  <c r="L13" s="1"/>
  <c r="C20" i="4"/>
  <c r="F20" s="1"/>
  <c r="C13" i="3"/>
  <c r="C22" i="4"/>
  <c r="F22" s="1"/>
  <c r="H8"/>
  <c r="L8" s="1"/>
  <c r="C13"/>
  <c r="F13" s="1"/>
  <c r="E32"/>
  <c r="H22"/>
  <c r="L22" s="1"/>
  <c r="F9"/>
  <c r="I32"/>
  <c r="D8"/>
  <c r="C8" s="1"/>
  <c r="F8" s="1"/>
  <c r="C3"/>
  <c r="F3" s="1"/>
  <c r="G32"/>
  <c r="H3"/>
  <c r="L3" s="1"/>
  <c r="K32"/>
  <c r="L12" i="7"/>
  <c r="H25" i="4"/>
  <c r="J32"/>
  <c r="H25" i="3"/>
  <c r="L25" s="1"/>
  <c r="F13" l="1"/>
  <c r="C29"/>
  <c r="L3"/>
  <c r="H29"/>
  <c r="L29" s="1"/>
  <c r="D32" i="4"/>
  <c r="B14" i="7"/>
  <c r="C32" i="4"/>
  <c r="H32"/>
  <c r="L32" s="1"/>
  <c r="L25"/>
  <c r="I17" i="7" l="1"/>
  <c r="H39" i="4"/>
  <c r="J39"/>
  <c r="K17" i="7"/>
  <c r="C41" i="4" l="1"/>
  <c r="H13" i="7" s="1"/>
  <c r="G14" s="1"/>
  <c r="C16"/>
  <c r="E38" i="4"/>
</calcChain>
</file>

<file path=xl/sharedStrings.xml><?xml version="1.0" encoding="utf-8"?>
<sst xmlns="http://schemas.openxmlformats.org/spreadsheetml/2006/main" count="120" uniqueCount="96">
  <si>
    <t>Egyéb befizetés, pályázat</t>
  </si>
  <si>
    <t>Városüzemeltetési alapfeladatok</t>
  </si>
  <si>
    <t>Települési hulladékgazdálkodás (hulladékgyűjtők, hó- és síkosság mentesítés, szennyvíz-szállítás)</t>
  </si>
  <si>
    <t>Út, járda karbantartás (kátyúzás, padkázás, táblák stb.)</t>
  </si>
  <si>
    <t>Köztemető</t>
  </si>
  <si>
    <t>Helyi közösségi közlekedés</t>
  </si>
  <si>
    <t>Közvilágítás, karbantartás</t>
  </si>
  <si>
    <t>Zöldterület kezelés (fűvágás, gallyazás, szemétszedés-seprés, locsolás, virágosítás, fásítás)</t>
  </si>
  <si>
    <t>Intézmények, szolgáltatások, támogatások</t>
  </si>
  <si>
    <t>Brunszvik Teréz Óvoda</t>
  </si>
  <si>
    <t>Iskolatej (óvodatej)</t>
  </si>
  <si>
    <t>Egészségügyi kiadások (labor, stb.)</t>
  </si>
  <si>
    <t>Háziorvosi rendelő, egészségház</t>
  </si>
  <si>
    <t>Gyermekorvosi, fogorvosi rendelő</t>
  </si>
  <si>
    <t>Védőnői szolgálat</t>
  </si>
  <si>
    <t>Szociális támogatások</t>
  </si>
  <si>
    <t>Közfoglalkoztatás támogatása</t>
  </si>
  <si>
    <t xml:space="preserve">Kistérség működtette lakossági szolgáltatásokra átadandó (Segítő szolgálat, orvosi ügyelet)  </t>
  </si>
  <si>
    <t>Bevételek a lakosság által igénybevett szolgáltatások ellentételezésére</t>
  </si>
  <si>
    <t>Összesen:</t>
  </si>
  <si>
    <t>MINDÖSSZESEN:</t>
  </si>
  <si>
    <t>Index % előző évhez</t>
  </si>
  <si>
    <t>POLGÁROK ÁLTAL KÖZVETLENÜL IGÉNYBE VETT SZOLGÁLTATÁSOK</t>
  </si>
  <si>
    <t xml:space="preserve">Polgármesteri Hivatal és városháza épülete </t>
  </si>
  <si>
    <t>Mezőőri tevékenység</t>
  </si>
  <si>
    <t xml:space="preserve">Brunszvik-Beethoven Kulturális Központ </t>
  </si>
  <si>
    <t>Egyéb feladatok</t>
  </si>
  <si>
    <t>Csatorna áfa befizetés</t>
  </si>
  <si>
    <t>Önkor-mányzat és szervei</t>
  </si>
  <si>
    <t>VÁROSIGAZGATÁS ÉS KÖZÖSSÉGSZERVEZÉS</t>
  </si>
  <si>
    <t>A városigazgatási és közösségszervezés bevételei</t>
  </si>
  <si>
    <t>Állami támogatás</t>
  </si>
  <si>
    <t>Önkormányzat, szervei, partnerek</t>
  </si>
  <si>
    <t>Hiteltörlesztés (Áfa kölcsön, egyéb hitel)</t>
  </si>
  <si>
    <t>Kommunikációs feladatok (újság, kiadvány, eszköz)</t>
  </si>
  <si>
    <t>Óvodamúzeum és Könyvtár (ÓM)</t>
  </si>
  <si>
    <t>Polgárőrség közbiztonsági feladatainak (pályázat), a Gárdonyi Rendőrkapitányságnak és a Martonvásári Mentőállomásnak a támogatása</t>
  </si>
  <si>
    <t>Önkormányzat (pályázatok, szerződések, tervezések, igazgatási díjak, városvezetés, bérleti díjak, reprezentáció)</t>
  </si>
  <si>
    <t>Kultúra, rendezvények, civilek, nemzetközi kapcsolatok</t>
  </si>
  <si>
    <t>Civil szervezetek támogatása (sport nélkül)</t>
  </si>
  <si>
    <t>Sportegyesületek támogatása</t>
  </si>
  <si>
    <t>Sportélet támogatása és létesítményfenntartás</t>
  </si>
  <si>
    <t>Sportiroda,spotreferensi feladatok (MS)</t>
  </si>
  <si>
    <t>Utánpótlás-nevelés közvetlen támogatása (MS)</t>
  </si>
  <si>
    <t>SportegyesületekTAO pályázatainak önrész-támogatása</t>
  </si>
  <si>
    <t>Városigazgatási feladatok, Városháza</t>
  </si>
  <si>
    <t>További támogatások</t>
  </si>
  <si>
    <t>Iskolaudvar, Járás, Malom és MG telephely fenntartása</t>
  </si>
  <si>
    <t>KIADÁS</t>
  </si>
  <si>
    <t>Index %</t>
  </si>
  <si>
    <t>BEVÉTEL</t>
  </si>
  <si>
    <t>Fejlesztések-re, következő évi tartalékba</t>
  </si>
  <si>
    <t>Martongazda (fejlesztésre átadott)</t>
  </si>
  <si>
    <t>Saját (tartalék, kölcsön)</t>
  </si>
  <si>
    <t>Céltartalék (viziközmű fejlesztésre)</t>
  </si>
  <si>
    <t>Kisajátítási céltartlék</t>
  </si>
  <si>
    <t>Fejlesztési célú ct.</t>
  </si>
  <si>
    <t>Költségvetési maradvány felhalmozási</t>
  </si>
  <si>
    <t>Működési bevétel többlet áthozat</t>
  </si>
  <si>
    <t>FŐÖSSZEG</t>
  </si>
  <si>
    <t>Kiadás összesen</t>
  </si>
  <si>
    <t>Bevétel összesen</t>
  </si>
  <si>
    <t>Költségvetési transzferek a TKT részére</t>
  </si>
  <si>
    <t>Működési költésgvetési egyenleg</t>
  </si>
  <si>
    <t>Működési költségvetési egyenleg átvitele felhalmozási tartalékba</t>
  </si>
  <si>
    <t>Kormányzati támogatás</t>
  </si>
  <si>
    <t xml:space="preserve">Fejlesztések </t>
  </si>
  <si>
    <t>2018. évi Kiadás összesen</t>
  </si>
  <si>
    <t>2018. évi Bevétel összesen</t>
  </si>
  <si>
    <t>2017. eredeti előirányzat</t>
  </si>
  <si>
    <t>2017. évi eredeti előirányzat</t>
  </si>
  <si>
    <t>2017. évi eredeti ei.</t>
  </si>
  <si>
    <t xml:space="preserve">2017. évi eredeti ei </t>
  </si>
  <si>
    <r>
      <t xml:space="preserve">Marton-gazda </t>
    </r>
    <r>
      <rPr>
        <sz val="11"/>
        <color indexed="8"/>
        <rFont val="Times New Roman"/>
        <family val="1"/>
        <charset val="238"/>
      </rPr>
      <t>(működtetésre átadott)</t>
    </r>
  </si>
  <si>
    <r>
      <t xml:space="preserve">Saját </t>
    </r>
    <r>
      <rPr>
        <sz val="11"/>
        <color indexed="8"/>
        <rFont val="Times New Roman"/>
        <family val="1"/>
        <charset val="238"/>
      </rPr>
      <t>(adó, egyéb, tartalék)</t>
    </r>
  </si>
  <si>
    <t>Nemzetközi kapcsolatok, egyéb rendezvények</t>
  </si>
  <si>
    <t>Pótlékok, bírságok</t>
  </si>
  <si>
    <t>Helyi Iparűzési Adó</t>
  </si>
  <si>
    <t>Telekadó</t>
  </si>
  <si>
    <t xml:space="preserve">Építményadó </t>
  </si>
  <si>
    <t>Egyéb bevételek, igazgatási szolgáltatási díj, kamatbevétel, pénzeszköz átvétel, támogatásértékű bevétel, földterület SZJA, stb.</t>
  </si>
  <si>
    <t>Kommunális adó</t>
  </si>
  <si>
    <t xml:space="preserve">Gépjárműadó </t>
  </si>
  <si>
    <t>Talajterhelési díj</t>
  </si>
  <si>
    <t>Pályázati fejlesztése</t>
  </si>
  <si>
    <t>Piactér, vásártér</t>
  </si>
  <si>
    <t>Működési tartalék, Általános tartalék</t>
  </si>
  <si>
    <t>Városgazdálkodás (városüzemletetési iroda, menedzsment, FB..stb.)</t>
  </si>
  <si>
    <t>Sportcsarnok fenntartása</t>
  </si>
  <si>
    <t>Sportközpont</t>
  </si>
  <si>
    <t>Gyermek- és szociális étkeztetés (Iskolák)</t>
  </si>
  <si>
    <t>Martongazda Kft (4 fő)</t>
  </si>
  <si>
    <t>Az egyenleg oka a PH -nál fejlesztési forrásból tervezett3 fő bérköltsége, illetve 800 M Ft Korm. Támogatásból fedezett 1 fő bérköltsége.</t>
  </si>
  <si>
    <t>Létesítmény üzemeltetés (játszóterek, egyéb épületek)</t>
  </si>
  <si>
    <t>Fejlesztések (200 M Ft áthúzódó maradványa)</t>
  </si>
  <si>
    <t>Önkormányzati tartalék</t>
  </si>
</sst>
</file>

<file path=xl/styles.xml><?xml version="1.0" encoding="utf-8"?>
<styleSheet xmlns="http://schemas.openxmlformats.org/spreadsheetml/2006/main">
  <numFmts count="3">
    <numFmt numFmtId="43" formatCode="_-* #,##0.00\ _F_t_-;\-* #,##0.00\ _F_t_-;_-* &quot;-&quot;??\ _F_t_-;_-@_-"/>
    <numFmt numFmtId="164" formatCode="#,##0_ ;\-#,##0\ "/>
    <numFmt numFmtId="165" formatCode="_-* #,##0\ _F_t_-;\-* #,##0\ _F_t_-;_-* &quot;-&quot;??\ _F_t_-;_-@_-"/>
  </numFmts>
  <fonts count="22">
    <font>
      <sz val="11"/>
      <color theme="1"/>
      <name val="Calibri"/>
      <family val="2"/>
      <scheme val="minor"/>
    </font>
    <font>
      <b/>
      <sz val="12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 CE"/>
      <charset val="238"/>
    </font>
    <font>
      <i/>
      <sz val="10"/>
      <name val="Times New Roman"/>
      <family val="1"/>
      <charset val="238"/>
    </font>
    <font>
      <i/>
      <sz val="12"/>
      <name val="Times New Roman"/>
      <family val="1"/>
      <charset val="238"/>
    </font>
    <font>
      <b/>
      <i/>
      <sz val="12"/>
      <name val="Times New Roman"/>
      <family val="1"/>
      <charset val="238"/>
    </font>
    <font>
      <i/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lightGray"/>
    </fill>
    <fill>
      <patternFill patternType="solid">
        <fgColor theme="6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43" fontId="13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4" fillId="0" borderId="0"/>
    <xf numFmtId="0" fontId="7" fillId="0" borderId="0"/>
    <xf numFmtId="9" fontId="13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198">
    <xf numFmtId="0" fontId="0" fillId="0" borderId="0" xfId="0"/>
    <xf numFmtId="0" fontId="3" fillId="0" borderId="0" xfId="3" applyFont="1" applyAlignment="1">
      <alignment horizontal="center" vertical="center"/>
    </xf>
    <xf numFmtId="0" fontId="3" fillId="0" borderId="0" xfId="3" applyFont="1"/>
    <xf numFmtId="0" fontId="2" fillId="0" borderId="0" xfId="3" applyFont="1"/>
    <xf numFmtId="0" fontId="2" fillId="0" borderId="0" xfId="3" applyFont="1" applyBorder="1" applyAlignment="1">
      <alignment horizontal="right" vertical="top" wrapText="1"/>
    </xf>
    <xf numFmtId="164" fontId="1" fillId="0" borderId="0" xfId="3" applyNumberFormat="1" applyFont="1" applyBorder="1" applyAlignment="1">
      <alignment horizontal="center" vertical="center" wrapText="1"/>
    </xf>
    <xf numFmtId="164" fontId="1" fillId="0" borderId="0" xfId="3" applyNumberFormat="1" applyFont="1" applyBorder="1" applyAlignment="1">
      <alignment vertical="center" wrapText="1"/>
    </xf>
    <xf numFmtId="0" fontId="5" fillId="0" borderId="0" xfId="3" applyFont="1"/>
    <xf numFmtId="0" fontId="1" fillId="0" borderId="0" xfId="3" applyFont="1" applyBorder="1" applyAlignment="1">
      <alignment horizontal="center" vertical="center"/>
    </xf>
    <xf numFmtId="0" fontId="1" fillId="0" borderId="0" xfId="3" applyFont="1"/>
    <xf numFmtId="165" fontId="3" fillId="0" borderId="0" xfId="3" applyNumberFormat="1" applyFont="1"/>
    <xf numFmtId="9" fontId="5" fillId="0" borderId="0" xfId="6" applyFont="1" applyFill="1" applyBorder="1" applyAlignment="1">
      <alignment horizontal="center" vertical="center" wrapText="1"/>
    </xf>
    <xf numFmtId="3" fontId="5" fillId="0" borderId="12" xfId="2" applyNumberFormat="1" applyFont="1" applyFill="1" applyBorder="1" applyAlignment="1">
      <alignment horizontal="center" vertical="center" wrapText="1"/>
    </xf>
    <xf numFmtId="9" fontId="5" fillId="0" borderId="13" xfId="6" applyFont="1" applyFill="1" applyBorder="1" applyAlignment="1">
      <alignment horizontal="center" vertical="center" wrapText="1"/>
    </xf>
    <xf numFmtId="3" fontId="5" fillId="0" borderId="14" xfId="2" applyNumberFormat="1" applyFont="1" applyFill="1" applyBorder="1" applyAlignment="1">
      <alignment horizontal="center" vertical="center" wrapText="1"/>
    </xf>
    <xf numFmtId="3" fontId="1" fillId="0" borderId="12" xfId="0" applyNumberFormat="1" applyFont="1" applyFill="1" applyBorder="1" applyAlignment="1">
      <alignment horizontal="center" vertical="center" wrapText="1"/>
    </xf>
    <xf numFmtId="0" fontId="3" fillId="0" borderId="0" xfId="0" applyFont="1"/>
    <xf numFmtId="0" fontId="3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3" xfId="2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9" fontId="3" fillId="0" borderId="0" xfId="6" applyFont="1" applyFill="1" applyAlignment="1">
      <alignment vertic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2" fillId="0" borderId="0" xfId="0" applyFont="1" applyFill="1"/>
    <xf numFmtId="0" fontId="11" fillId="0" borderId="10" xfId="0" applyFont="1" applyFill="1" applyBorder="1" applyAlignment="1">
      <alignment vertical="center" wrapText="1"/>
    </xf>
    <xf numFmtId="0" fontId="11" fillId="0" borderId="11" xfId="0" applyFont="1" applyFill="1" applyBorder="1" applyAlignment="1">
      <alignment horizontal="center" vertical="center" wrapText="1"/>
    </xf>
    <xf numFmtId="3" fontId="12" fillId="0" borderId="12" xfId="0" applyNumberFormat="1" applyFont="1" applyFill="1" applyBorder="1" applyAlignment="1">
      <alignment horizontal="center" vertical="center" wrapText="1"/>
    </xf>
    <xf numFmtId="3" fontId="9" fillId="0" borderId="12" xfId="2" applyNumberFormat="1" applyFont="1" applyFill="1" applyBorder="1" applyAlignment="1">
      <alignment horizontal="center" vertical="center" wrapText="1"/>
    </xf>
    <xf numFmtId="0" fontId="2" fillId="0" borderId="2" xfId="3" applyFont="1" applyBorder="1" applyAlignment="1">
      <alignment horizontal="center" vertical="center" wrapText="1"/>
    </xf>
    <xf numFmtId="9" fontId="1" fillId="5" borderId="2" xfId="6" applyFont="1" applyFill="1" applyBorder="1" applyAlignment="1">
      <alignment horizontal="center" vertical="center" wrapText="1"/>
    </xf>
    <xf numFmtId="9" fontId="2" fillId="0" borderId="2" xfId="5" applyFont="1" applyBorder="1" applyAlignment="1">
      <alignment horizontal="center" vertical="center" wrapText="1"/>
    </xf>
    <xf numFmtId="9" fontId="3" fillId="4" borderId="15" xfId="6" applyFont="1" applyFill="1" applyBorder="1" applyAlignment="1">
      <alignment horizontal="center" vertical="center"/>
    </xf>
    <xf numFmtId="165" fontId="2" fillId="4" borderId="16" xfId="2" applyNumberFormat="1" applyFont="1" applyFill="1" applyBorder="1" applyAlignment="1">
      <alignment horizontal="center" vertical="center"/>
    </xf>
    <xf numFmtId="9" fontId="3" fillId="4" borderId="17" xfId="6" applyFont="1" applyFill="1" applyBorder="1" applyAlignment="1">
      <alignment horizontal="center" vertical="center"/>
    </xf>
    <xf numFmtId="165" fontId="2" fillId="4" borderId="18" xfId="2" applyNumberFormat="1" applyFont="1" applyFill="1" applyBorder="1" applyAlignment="1">
      <alignment horizontal="center" vertical="center"/>
    </xf>
    <xf numFmtId="165" fontId="3" fillId="3" borderId="1" xfId="1" applyNumberFormat="1" applyFont="1" applyFill="1" applyBorder="1" applyAlignment="1">
      <alignment horizontal="right" vertical="center" wrapText="1"/>
    </xf>
    <xf numFmtId="165" fontId="3" fillId="3" borderId="7" xfId="1" applyNumberFormat="1" applyFont="1" applyFill="1" applyBorder="1" applyAlignment="1">
      <alignment horizontal="right" vertical="center" wrapText="1"/>
    </xf>
    <xf numFmtId="0" fontId="16" fillId="0" borderId="0" xfId="0" applyFont="1" applyFill="1" applyBorder="1"/>
    <xf numFmtId="0" fontId="19" fillId="3" borderId="1" xfId="0" applyFont="1" applyFill="1" applyBorder="1" applyAlignment="1">
      <alignment horizontal="center" vertical="center" wrapText="1"/>
    </xf>
    <xf numFmtId="0" fontId="19" fillId="3" borderId="2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4" fontId="2" fillId="4" borderId="1" xfId="1" applyNumberFormat="1" applyFont="1" applyFill="1" applyBorder="1" applyAlignment="1">
      <alignment horizontal="right" vertical="center" wrapText="1"/>
    </xf>
    <xf numFmtId="9" fontId="2" fillId="4" borderId="2" xfId="5" applyFont="1" applyFill="1" applyBorder="1" applyAlignment="1">
      <alignment horizontal="right" vertical="center" wrapText="1"/>
    </xf>
    <xf numFmtId="164" fontId="2" fillId="4" borderId="3" xfId="1" applyNumberFormat="1" applyFont="1" applyFill="1" applyBorder="1" applyAlignment="1">
      <alignment horizontal="right" vertical="center" wrapText="1"/>
    </xf>
    <xf numFmtId="0" fontId="19" fillId="0" borderId="0" xfId="0" applyFont="1" applyFill="1" applyBorder="1"/>
    <xf numFmtId="165" fontId="3" fillId="0" borderId="3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/>
    <xf numFmtId="0" fontId="19" fillId="0" borderId="0" xfId="0" applyFont="1" applyFill="1" applyBorder="1" applyAlignment="1">
      <alignment vertical="center"/>
    </xf>
    <xf numFmtId="0" fontId="19" fillId="4" borderId="5" xfId="0" applyFont="1" applyFill="1" applyBorder="1" applyAlignment="1">
      <alignment horizontal="right" vertical="top" wrapText="1"/>
    </xf>
    <xf numFmtId="0" fontId="16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6" fillId="0" borderId="0" xfId="0" applyFont="1" applyFill="1" applyBorder="1" applyAlignment="1"/>
    <xf numFmtId="165" fontId="3" fillId="0" borderId="0" xfId="0" applyNumberFormat="1" applyFont="1" applyFill="1" applyBorder="1"/>
    <xf numFmtId="0" fontId="16" fillId="0" borderId="0" xfId="0" applyFont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9" fontId="19" fillId="4" borderId="2" xfId="5" applyFont="1" applyFill="1" applyBorder="1" applyAlignment="1">
      <alignment horizontal="right" vertical="center" wrapText="1"/>
    </xf>
    <xf numFmtId="0" fontId="19" fillId="0" borderId="0" xfId="0" applyFont="1"/>
    <xf numFmtId="9" fontId="2" fillId="0" borderId="2" xfId="5" applyFont="1" applyFill="1" applyBorder="1" applyAlignment="1">
      <alignment horizontal="right" vertical="center" wrapText="1"/>
    </xf>
    <xf numFmtId="165" fontId="16" fillId="0" borderId="3" xfId="1" applyNumberFormat="1" applyFont="1" applyFill="1" applyBorder="1" applyAlignment="1">
      <alignment horizontal="right" vertical="center" wrapText="1"/>
    </xf>
    <xf numFmtId="9" fontId="19" fillId="0" borderId="2" xfId="5" applyFont="1" applyFill="1" applyBorder="1" applyAlignment="1">
      <alignment horizontal="right" vertical="center" wrapText="1"/>
    </xf>
    <xf numFmtId="0" fontId="16" fillId="0" borderId="0" xfId="0" applyFont="1"/>
    <xf numFmtId="165" fontId="2" fillId="4" borderId="3" xfId="1" applyNumberFormat="1" applyFont="1" applyFill="1" applyBorder="1" applyAlignment="1">
      <alignment horizontal="right" vertical="center" wrapText="1"/>
    </xf>
    <xf numFmtId="0" fontId="2" fillId="0" borderId="0" xfId="0" applyFont="1"/>
    <xf numFmtId="165" fontId="19" fillId="4" borderId="6" xfId="1" applyNumberFormat="1" applyFont="1" applyFill="1" applyBorder="1" applyAlignment="1">
      <alignment horizontal="right" vertical="center" wrapText="1"/>
    </xf>
    <xf numFmtId="165" fontId="16" fillId="2" borderId="1" xfId="1" applyNumberFormat="1" applyFont="1" applyFill="1" applyBorder="1" applyAlignment="1">
      <alignment horizontal="right" vertical="center" wrapText="1"/>
    </xf>
    <xf numFmtId="3" fontId="16" fillId="0" borderId="0" xfId="0" applyNumberFormat="1" applyFont="1"/>
    <xf numFmtId="165" fontId="19" fillId="4" borderId="5" xfId="1" applyNumberFormat="1" applyFont="1" applyFill="1" applyBorder="1" applyAlignment="1">
      <alignment horizontal="right" vertical="center" wrapText="1"/>
    </xf>
    <xf numFmtId="165" fontId="19" fillId="4" borderId="3" xfId="1" applyNumberFormat="1" applyFont="1" applyFill="1" applyBorder="1" applyAlignment="1">
      <alignment horizontal="right" vertical="center" wrapText="1"/>
    </xf>
    <xf numFmtId="165" fontId="19" fillId="0" borderId="0" xfId="1" applyNumberFormat="1" applyFont="1"/>
    <xf numFmtId="0" fontId="16" fillId="0" borderId="0" xfId="0" applyFont="1" applyAlignment="1">
      <alignment horizontal="center"/>
    </xf>
    <xf numFmtId="3" fontId="16" fillId="0" borderId="0" xfId="0" applyNumberFormat="1" applyFont="1" applyFill="1" applyBorder="1" applyAlignment="1">
      <alignment vertical="center"/>
    </xf>
    <xf numFmtId="9" fontId="5" fillId="0" borderId="0" xfId="5" applyFont="1" applyFill="1" applyBorder="1" applyAlignment="1">
      <alignment horizontal="center" vertical="center" wrapText="1"/>
    </xf>
    <xf numFmtId="3" fontId="16" fillId="0" borderId="0" xfId="0" applyNumberFormat="1" applyFont="1" applyFill="1" applyAlignment="1">
      <alignment vertical="center"/>
    </xf>
    <xf numFmtId="3" fontId="16" fillId="0" borderId="0" xfId="0" applyNumberFormat="1" applyFont="1" applyFill="1" applyAlignment="1">
      <alignment horizontal="center" vertical="center"/>
    </xf>
    <xf numFmtId="9" fontId="17" fillId="0" borderId="0" xfId="5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center" wrapText="1"/>
    </xf>
    <xf numFmtId="0" fontId="16" fillId="0" borderId="1" xfId="0" applyFont="1" applyBorder="1"/>
    <xf numFmtId="0" fontId="2" fillId="4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9" fillId="4" borderId="1" xfId="0" applyFont="1" applyFill="1" applyBorder="1" applyAlignment="1">
      <alignment horizontal="left" vertical="center" wrapText="1"/>
    </xf>
    <xf numFmtId="0" fontId="19" fillId="4" borderId="1" xfId="0" applyFont="1" applyFill="1" applyBorder="1" applyAlignment="1">
      <alignment vertical="top" wrapText="1"/>
    </xf>
    <xf numFmtId="0" fontId="16" fillId="0" borderId="1" xfId="0" applyFont="1" applyFill="1" applyBorder="1" applyAlignment="1">
      <alignment vertical="top" wrapText="1"/>
    </xf>
    <xf numFmtId="165" fontId="3" fillId="0" borderId="1" xfId="1" applyNumberFormat="1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vertical="center" wrapText="1"/>
    </xf>
    <xf numFmtId="3" fontId="5" fillId="0" borderId="12" xfId="0" applyNumberFormat="1" applyFont="1" applyFill="1" applyBorder="1" applyAlignment="1">
      <alignment horizontal="center" vertical="center" wrapText="1"/>
    </xf>
    <xf numFmtId="165" fontId="2" fillId="0" borderId="1" xfId="1" applyNumberFormat="1" applyFont="1" applyFill="1" applyBorder="1" applyAlignment="1">
      <alignment horizontal="center" vertical="center" wrapText="1"/>
    </xf>
    <xf numFmtId="9" fontId="19" fillId="4" borderId="3" xfId="5" applyFont="1" applyFill="1" applyBorder="1" applyAlignment="1">
      <alignment horizontal="right" vertical="center" wrapText="1"/>
    </xf>
    <xf numFmtId="3" fontId="5" fillId="0" borderId="29" xfId="0" applyNumberFormat="1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vertical="center"/>
    </xf>
    <xf numFmtId="0" fontId="3" fillId="0" borderId="30" xfId="0" applyFont="1" applyFill="1" applyBorder="1" applyAlignment="1">
      <alignment horizontal="center" vertical="center"/>
    </xf>
    <xf numFmtId="9" fontId="1" fillId="0" borderId="2" xfId="6" applyFont="1" applyFill="1" applyBorder="1" applyAlignment="1">
      <alignment horizontal="center" vertical="center" wrapText="1"/>
    </xf>
    <xf numFmtId="9" fontId="2" fillId="5" borderId="2" xfId="6" applyFont="1" applyFill="1" applyBorder="1" applyAlignment="1">
      <alignment horizontal="center" vertical="center" wrapText="1"/>
    </xf>
    <xf numFmtId="164" fontId="2" fillId="0" borderId="0" xfId="3" applyNumberFormat="1" applyFont="1" applyBorder="1" applyAlignment="1">
      <alignment horizontal="center" vertical="center" wrapText="1"/>
    </xf>
    <xf numFmtId="0" fontId="2" fillId="0" borderId="0" xfId="3" applyFont="1" applyBorder="1" applyAlignment="1">
      <alignment horizontal="center" vertical="center"/>
    </xf>
    <xf numFmtId="165" fontId="2" fillId="4" borderId="1" xfId="1" applyNumberFormat="1" applyFont="1" applyFill="1" applyBorder="1" applyAlignment="1">
      <alignment horizontal="right" vertical="center" wrapText="1"/>
    </xf>
    <xf numFmtId="165" fontId="2" fillId="3" borderId="1" xfId="1" applyNumberFormat="1" applyFont="1" applyFill="1" applyBorder="1" applyAlignment="1">
      <alignment horizontal="right" vertical="center" wrapText="1"/>
    </xf>
    <xf numFmtId="165" fontId="3" fillId="2" borderId="1" xfId="1" applyNumberFormat="1" applyFont="1" applyFill="1" applyBorder="1" applyAlignment="1">
      <alignment horizontal="right" vertical="center" wrapText="1"/>
    </xf>
    <xf numFmtId="165" fontId="19" fillId="4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165" fontId="19" fillId="3" borderId="1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9" fillId="3" borderId="9" xfId="1" applyNumberFormat="1" applyFont="1" applyFill="1" applyBorder="1" applyAlignment="1">
      <alignment horizontal="right" vertical="center" wrapText="1"/>
    </xf>
    <xf numFmtId="165" fontId="19" fillId="4" borderId="7" xfId="1" applyNumberFormat="1" applyFont="1" applyFill="1" applyBorder="1" applyAlignment="1">
      <alignment horizontal="right" vertical="center" wrapText="1"/>
    </xf>
    <xf numFmtId="165" fontId="16" fillId="4" borderId="1" xfId="1" applyNumberFormat="1" applyFont="1" applyFill="1" applyBorder="1" applyAlignment="1">
      <alignment horizontal="right" vertical="center" wrapText="1"/>
    </xf>
    <xf numFmtId="165" fontId="1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 vertical="center" wrapText="1"/>
    </xf>
    <xf numFmtId="165" fontId="1" fillId="5" borderId="1" xfId="1" applyNumberFormat="1" applyFont="1" applyFill="1" applyBorder="1" applyAlignment="1">
      <alignment vertical="center" wrapText="1"/>
    </xf>
    <xf numFmtId="165" fontId="4" fillId="0" borderId="1" xfId="1" applyNumberFormat="1" applyFont="1" applyBorder="1" applyAlignment="1">
      <alignment horizontal="center" vertical="center" wrapText="1"/>
    </xf>
    <xf numFmtId="165" fontId="1" fillId="0" borderId="1" xfId="1" applyNumberFormat="1" applyFont="1" applyBorder="1" applyAlignment="1">
      <alignment horizontal="center" vertical="center" wrapText="1"/>
    </xf>
    <xf numFmtId="165" fontId="2" fillId="5" borderId="1" xfId="1" applyNumberFormat="1" applyFont="1" applyFill="1" applyBorder="1" applyAlignment="1">
      <alignment horizontal="right" vertical="top" wrapText="1"/>
    </xf>
    <xf numFmtId="0" fontId="3" fillId="0" borderId="4" xfId="3" applyFont="1" applyBorder="1" applyAlignment="1">
      <alignment vertical="top" wrapText="1"/>
    </xf>
    <xf numFmtId="0" fontId="6" fillId="0" borderId="4" xfId="4" applyFont="1" applyFill="1" applyBorder="1" applyAlignment="1">
      <alignment horizontal="left" vertical="center" wrapText="1"/>
    </xf>
    <xf numFmtId="0" fontId="2" fillId="5" borderId="4" xfId="3" applyFont="1" applyFill="1" applyBorder="1" applyAlignment="1">
      <alignment horizontal="left" vertical="top" wrapText="1"/>
    </xf>
    <xf numFmtId="0" fontId="3" fillId="0" borderId="28" xfId="3" applyFont="1" applyBorder="1" applyAlignment="1">
      <alignment vertical="top" wrapText="1"/>
    </xf>
    <xf numFmtId="165" fontId="1" fillId="0" borderId="9" xfId="1" applyNumberFormat="1" applyFont="1" applyBorder="1" applyAlignment="1">
      <alignment horizontal="center" vertical="center" wrapText="1"/>
    </xf>
    <xf numFmtId="165" fontId="1" fillId="0" borderId="9" xfId="1" applyNumberFormat="1" applyFont="1" applyFill="1" applyBorder="1" applyAlignment="1">
      <alignment horizontal="center" vertical="center" wrapText="1"/>
    </xf>
    <xf numFmtId="165" fontId="5" fillId="0" borderId="9" xfId="1" applyNumberFormat="1" applyFont="1" applyBorder="1" applyAlignment="1">
      <alignment horizontal="center" vertical="center" wrapText="1"/>
    </xf>
    <xf numFmtId="165" fontId="2" fillId="0" borderId="9" xfId="1" applyNumberFormat="1" applyFont="1" applyFill="1" applyBorder="1" applyAlignment="1">
      <alignment horizontal="center" vertical="center" wrapText="1"/>
    </xf>
    <xf numFmtId="165" fontId="4" fillId="0" borderId="9" xfId="1" applyNumberFormat="1" applyFont="1" applyBorder="1" applyAlignment="1">
      <alignment horizontal="center" vertical="center" wrapText="1"/>
    </xf>
    <xf numFmtId="0" fontId="2" fillId="0" borderId="42" xfId="3" applyFont="1" applyBorder="1" applyAlignment="1">
      <alignment horizontal="center" vertical="center" wrapText="1"/>
    </xf>
    <xf numFmtId="0" fontId="4" fillId="4" borderId="37" xfId="3" applyFont="1" applyFill="1" applyBorder="1" applyAlignment="1">
      <alignment horizontal="center" vertical="center" wrapText="1"/>
    </xf>
    <xf numFmtId="9" fontId="2" fillId="0" borderId="42" xfId="5" applyFont="1" applyBorder="1" applyAlignment="1">
      <alignment horizontal="center" vertical="center" wrapText="1"/>
    </xf>
    <xf numFmtId="165" fontId="2" fillId="0" borderId="28" xfId="1" applyNumberFormat="1" applyFont="1" applyBorder="1" applyAlignment="1">
      <alignment horizontal="center" vertical="center" wrapText="1"/>
    </xf>
    <xf numFmtId="165" fontId="2" fillId="0" borderId="4" xfId="1" applyNumberFormat="1" applyFont="1" applyBorder="1" applyAlignment="1">
      <alignment horizontal="center" vertical="center" wrapText="1"/>
    </xf>
    <xf numFmtId="165" fontId="5" fillId="0" borderId="4" xfId="1" applyNumberFormat="1" applyFont="1" applyFill="1" applyBorder="1" applyAlignment="1">
      <alignment horizontal="center" vertical="center" wrapText="1"/>
    </xf>
    <xf numFmtId="165" fontId="1" fillId="5" borderId="4" xfId="1" applyNumberFormat="1" applyFont="1" applyFill="1" applyBorder="1" applyAlignment="1">
      <alignment vertical="center" wrapText="1"/>
    </xf>
    <xf numFmtId="0" fontId="8" fillId="0" borderId="27" xfId="4" applyFont="1" applyFill="1" applyBorder="1" applyAlignment="1">
      <alignment horizontal="left" vertical="center" wrapText="1"/>
    </xf>
    <xf numFmtId="165" fontId="9" fillId="0" borderId="7" xfId="1" applyNumberFormat="1" applyFont="1" applyBorder="1" applyAlignment="1">
      <alignment horizontal="center" vertical="center" wrapText="1"/>
    </xf>
    <xf numFmtId="165" fontId="10" fillId="0" borderId="7" xfId="1" applyNumberFormat="1" applyFont="1" applyFill="1" applyBorder="1" applyAlignment="1">
      <alignment horizontal="center" vertical="center" wrapText="1"/>
    </xf>
    <xf numFmtId="165" fontId="9" fillId="0" borderId="7" xfId="1" applyNumberFormat="1" applyFont="1" applyFill="1" applyBorder="1" applyAlignment="1">
      <alignment horizontal="center" vertical="center" wrapText="1"/>
    </xf>
    <xf numFmtId="9" fontId="11" fillId="0" borderId="41" xfId="6" applyFont="1" applyFill="1" applyBorder="1" applyAlignment="1">
      <alignment horizontal="center" vertical="center" wrapText="1"/>
    </xf>
    <xf numFmtId="165" fontId="9" fillId="0" borderId="27" xfId="1" applyNumberFormat="1" applyFont="1" applyFill="1" applyBorder="1" applyAlignment="1">
      <alignment horizontal="center" vertical="center" wrapText="1"/>
    </xf>
    <xf numFmtId="165" fontId="5" fillId="0" borderId="7" xfId="1" applyNumberFormat="1" applyFont="1" applyFill="1" applyBorder="1" applyAlignment="1">
      <alignment horizontal="center" vertical="center" wrapText="1"/>
    </xf>
    <xf numFmtId="9" fontId="5" fillId="0" borderId="41" xfId="6" applyFont="1" applyFill="1" applyBorder="1" applyAlignment="1">
      <alignment horizontal="center" vertical="center" wrapText="1"/>
    </xf>
    <xf numFmtId="0" fontId="2" fillId="5" borderId="11" xfId="3" applyFont="1" applyFill="1" applyBorder="1" applyAlignment="1">
      <alignment horizontal="left" vertical="top" wrapText="1"/>
    </xf>
    <xf numFmtId="0" fontId="18" fillId="5" borderId="19" xfId="0" applyFont="1" applyFill="1" applyBorder="1" applyAlignment="1">
      <alignment horizontal="center" vertical="center" wrapText="1"/>
    </xf>
    <xf numFmtId="0" fontId="18" fillId="5" borderId="20" xfId="0" applyFont="1" applyFill="1" applyBorder="1" applyAlignment="1">
      <alignment horizontal="center" vertical="center" wrapText="1"/>
    </xf>
    <xf numFmtId="0" fontId="15" fillId="4" borderId="21" xfId="0" applyFont="1" applyFill="1" applyBorder="1" applyAlignment="1">
      <alignment horizontal="center" vertical="center" wrapText="1"/>
    </xf>
    <xf numFmtId="0" fontId="15" fillId="4" borderId="22" xfId="0" applyFont="1" applyFill="1" applyBorder="1" applyAlignment="1">
      <alignment horizontal="center" vertical="center" wrapText="1"/>
    </xf>
    <xf numFmtId="0" fontId="19" fillId="4" borderId="23" xfId="0" applyFont="1" applyFill="1" applyBorder="1" applyAlignment="1">
      <alignment horizontal="center" vertical="center" wrapText="1"/>
    </xf>
    <xf numFmtId="0" fontId="19" fillId="4" borderId="24" xfId="0" applyFont="1" applyFill="1" applyBorder="1" applyAlignment="1">
      <alignment horizontal="center" vertical="center" wrapText="1"/>
    </xf>
    <xf numFmtId="165" fontId="3" fillId="2" borderId="7" xfId="1" applyNumberFormat="1" applyFont="1" applyFill="1" applyBorder="1" applyAlignment="1">
      <alignment horizontal="right" vertical="center" wrapText="1"/>
    </xf>
    <xf numFmtId="165" fontId="3" fillId="2" borderId="26" xfId="1" applyNumberFormat="1" applyFont="1" applyFill="1" applyBorder="1" applyAlignment="1">
      <alignment horizontal="right" vertical="center" wrapText="1"/>
    </xf>
    <xf numFmtId="165" fontId="3" fillId="2" borderId="9" xfId="1" applyNumberFormat="1" applyFont="1" applyFill="1" applyBorder="1" applyAlignment="1">
      <alignment horizontal="right" vertical="center" wrapText="1"/>
    </xf>
    <xf numFmtId="165" fontId="16" fillId="0" borderId="1" xfId="1" applyNumberFormat="1" applyFont="1" applyFill="1" applyBorder="1" applyAlignment="1">
      <alignment horizontal="right" vertical="center" wrapText="1"/>
    </xf>
    <xf numFmtId="0" fontId="15" fillId="4" borderId="23" xfId="0" applyFont="1" applyFill="1" applyBorder="1" applyAlignment="1">
      <alignment horizontal="center" vertical="center" wrapText="1"/>
    </xf>
    <xf numFmtId="0" fontId="15" fillId="4" borderId="24" xfId="0" applyFont="1" applyFill="1" applyBorder="1" applyAlignment="1">
      <alignment horizontal="center" vertical="center" wrapText="1"/>
    </xf>
    <xf numFmtId="165" fontId="16" fillId="0" borderId="1" xfId="1" applyNumberFormat="1" applyFont="1" applyFill="1" applyBorder="1" applyAlignment="1">
      <alignment horizontal="center" vertical="center" wrapText="1"/>
    </xf>
    <xf numFmtId="165" fontId="19" fillId="3" borderId="7" xfId="1" applyNumberFormat="1" applyFont="1" applyFill="1" applyBorder="1" applyAlignment="1">
      <alignment horizontal="right" vertical="center" wrapText="1"/>
    </xf>
    <xf numFmtId="165" fontId="19" fillId="3" borderId="9" xfId="1" applyNumberFormat="1" applyFont="1" applyFill="1" applyBorder="1" applyAlignment="1">
      <alignment horizontal="right" vertical="center" wrapText="1"/>
    </xf>
    <xf numFmtId="0" fontId="2" fillId="5" borderId="19" xfId="0" applyFont="1" applyFill="1" applyBorder="1" applyAlignment="1">
      <alignment horizontal="center" vertical="center"/>
    </xf>
    <xf numFmtId="0" fontId="2" fillId="5" borderId="29" xfId="0" applyFont="1" applyFill="1" applyBorder="1" applyAlignment="1">
      <alignment horizontal="center" vertical="center"/>
    </xf>
    <xf numFmtId="0" fontId="2" fillId="5" borderId="1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30" xfId="0" applyFont="1" applyFill="1" applyBorder="1" applyAlignment="1">
      <alignment horizontal="center" vertical="center"/>
    </xf>
    <xf numFmtId="0" fontId="2" fillId="5" borderId="18" xfId="0" applyFont="1" applyFill="1" applyBorder="1" applyAlignment="1">
      <alignment horizontal="center" vertical="center"/>
    </xf>
    <xf numFmtId="165" fontId="2" fillId="5" borderId="31" xfId="2" applyNumberFormat="1" applyFont="1" applyFill="1" applyBorder="1" applyAlignment="1">
      <alignment horizontal="center" vertical="center"/>
    </xf>
    <xf numFmtId="165" fontId="2" fillId="5" borderId="32" xfId="2" applyNumberFormat="1" applyFont="1" applyFill="1" applyBorder="1" applyAlignment="1">
      <alignment horizontal="center" vertical="center"/>
    </xf>
    <xf numFmtId="0" fontId="2" fillId="5" borderId="33" xfId="0" applyFont="1" applyFill="1" applyBorder="1" applyAlignment="1">
      <alignment horizontal="center" vertical="center"/>
    </xf>
    <xf numFmtId="0" fontId="2" fillId="5" borderId="34" xfId="0" applyFont="1" applyFill="1" applyBorder="1" applyAlignment="1">
      <alignment horizontal="center" vertical="center"/>
    </xf>
    <xf numFmtId="165" fontId="1" fillId="5" borderId="35" xfId="0" applyNumberFormat="1" applyFont="1" applyFill="1" applyBorder="1" applyAlignment="1">
      <alignment horizontal="center" vertical="center"/>
    </xf>
    <xf numFmtId="165" fontId="1" fillId="5" borderId="36" xfId="0" applyNumberFormat="1" applyFont="1" applyFill="1" applyBorder="1" applyAlignment="1">
      <alignment horizontal="center" vertical="center"/>
    </xf>
    <xf numFmtId="164" fontId="1" fillId="5" borderId="35" xfId="0" applyNumberFormat="1" applyFont="1" applyFill="1" applyBorder="1" applyAlignment="1">
      <alignment horizontal="center" vertical="center"/>
    </xf>
    <xf numFmtId="164" fontId="1" fillId="5" borderId="25" xfId="0" applyNumberFormat="1" applyFont="1" applyFill="1" applyBorder="1" applyAlignment="1">
      <alignment horizontal="center" vertical="center"/>
    </xf>
    <xf numFmtId="0" fontId="18" fillId="5" borderId="39" xfId="0" applyFont="1" applyFill="1" applyBorder="1" applyAlignment="1">
      <alignment horizontal="center" vertical="center" wrapText="1"/>
    </xf>
    <xf numFmtId="0" fontId="18" fillId="5" borderId="40" xfId="0" applyFont="1" applyFill="1" applyBorder="1" applyAlignment="1">
      <alignment horizontal="center" vertical="center" wrapText="1"/>
    </xf>
    <xf numFmtId="0" fontId="1" fillId="4" borderId="33" xfId="3" applyFont="1" applyFill="1" applyBorder="1" applyAlignment="1">
      <alignment horizontal="center" vertical="center" wrapText="1"/>
    </xf>
    <xf numFmtId="0" fontId="1" fillId="4" borderId="37" xfId="3" applyFont="1" applyFill="1" applyBorder="1" applyAlignment="1">
      <alignment horizontal="center" vertical="center" wrapText="1"/>
    </xf>
    <xf numFmtId="0" fontId="2" fillId="4" borderId="33" xfId="3" applyFont="1" applyFill="1" applyBorder="1" applyAlignment="1">
      <alignment horizontal="center" vertical="center" wrapText="1"/>
    </xf>
    <xf numFmtId="0" fontId="2" fillId="4" borderId="37" xfId="3" applyFont="1" applyFill="1" applyBorder="1" applyAlignment="1">
      <alignment horizontal="center" vertical="center" wrapText="1"/>
    </xf>
    <xf numFmtId="0" fontId="2" fillId="5" borderId="33" xfId="3" applyFont="1" applyFill="1" applyBorder="1" applyAlignment="1">
      <alignment horizontal="center" vertical="center" wrapText="1"/>
    </xf>
    <xf numFmtId="0" fontId="2" fillId="4" borderId="34" xfId="3" applyFont="1" applyFill="1" applyBorder="1" applyAlignment="1">
      <alignment horizontal="center" vertical="center" wrapText="1"/>
    </xf>
    <xf numFmtId="0" fontId="2" fillId="4" borderId="38" xfId="3" applyFont="1" applyFill="1" applyBorder="1" applyAlignment="1">
      <alignment horizontal="center" vertical="center" wrapText="1"/>
    </xf>
    <xf numFmtId="165" fontId="1" fillId="0" borderId="37" xfId="3" applyNumberFormat="1" applyFont="1" applyBorder="1" applyAlignment="1">
      <alignment horizontal="center" vertical="center"/>
    </xf>
    <xf numFmtId="165" fontId="1" fillId="0" borderId="38" xfId="3" applyNumberFormat="1" applyFont="1" applyBorder="1" applyAlignment="1">
      <alignment horizontal="center" vertical="center"/>
    </xf>
    <xf numFmtId="165" fontId="1" fillId="0" borderId="39" xfId="2" applyNumberFormat="1" applyFont="1" applyBorder="1" applyAlignment="1">
      <alignment horizontal="center" vertical="center"/>
    </xf>
    <xf numFmtId="165" fontId="1" fillId="0" borderId="40" xfId="2" applyNumberFormat="1" applyFont="1" applyBorder="1" applyAlignment="1">
      <alignment horizontal="center" vertical="center"/>
    </xf>
    <xf numFmtId="0" fontId="1" fillId="0" borderId="33" xfId="3" applyFont="1" applyBorder="1" applyAlignment="1">
      <alignment horizontal="center" vertical="center"/>
    </xf>
    <xf numFmtId="0" fontId="1" fillId="0" borderId="34" xfId="3" applyFont="1" applyBorder="1" applyAlignment="1">
      <alignment horizontal="center" vertical="center"/>
    </xf>
    <xf numFmtId="0" fontId="1" fillId="0" borderId="37" xfId="3" applyFont="1" applyBorder="1" applyAlignment="1">
      <alignment horizontal="center" vertical="center"/>
    </xf>
    <xf numFmtId="0" fontId="1" fillId="0" borderId="38" xfId="3" applyFont="1" applyBorder="1" applyAlignment="1">
      <alignment horizontal="center" vertical="center"/>
    </xf>
    <xf numFmtId="0" fontId="1" fillId="0" borderId="39" xfId="3" applyFont="1" applyBorder="1" applyAlignment="1">
      <alignment horizontal="center" vertical="center"/>
    </xf>
    <xf numFmtId="165" fontId="1" fillId="0" borderId="40" xfId="3" applyNumberFormat="1" applyFont="1" applyBorder="1" applyAlignment="1">
      <alignment horizontal="center" vertical="center"/>
    </xf>
    <xf numFmtId="0" fontId="2" fillId="4" borderId="39" xfId="3" applyFont="1" applyFill="1" applyBorder="1" applyAlignment="1">
      <alignment horizontal="center" vertical="center" wrapText="1"/>
    </xf>
    <xf numFmtId="0" fontId="2" fillId="4" borderId="40" xfId="3" applyFont="1" applyFill="1" applyBorder="1" applyAlignment="1">
      <alignment horizontal="center" vertical="center" wrapText="1"/>
    </xf>
    <xf numFmtId="164" fontId="1" fillId="5" borderId="44" xfId="1" applyNumberFormat="1" applyFont="1" applyFill="1" applyBorder="1" applyAlignment="1">
      <alignment horizontal="center" vertical="center"/>
    </xf>
    <xf numFmtId="164" fontId="1" fillId="5" borderId="43" xfId="1" applyNumberFormat="1" applyFont="1" applyFill="1" applyBorder="1" applyAlignment="1">
      <alignment horizontal="center" vertical="center"/>
    </xf>
    <xf numFmtId="164" fontId="1" fillId="5" borderId="45" xfId="1" applyNumberFormat="1" applyFont="1" applyFill="1" applyBorder="1" applyAlignment="1">
      <alignment horizontal="center" vertical="center"/>
    </xf>
    <xf numFmtId="164" fontId="1" fillId="5" borderId="10" xfId="1" applyNumberFormat="1" applyFont="1" applyFill="1" applyBorder="1" applyAlignment="1">
      <alignment horizontal="center" vertical="center"/>
    </xf>
    <xf numFmtId="0" fontId="21" fillId="0" borderId="0" xfId="0" applyFont="1"/>
    <xf numFmtId="0" fontId="19" fillId="0" borderId="0" xfId="0" applyFont="1" applyBorder="1"/>
  </cellXfs>
  <cellStyles count="7">
    <cellStyle name="Ezres" xfId="1" builtinId="3"/>
    <cellStyle name="Ezres 2" xfId="2"/>
    <cellStyle name="Normál" xfId="0" builtinId="0"/>
    <cellStyle name="Normál 2" xfId="3"/>
    <cellStyle name="Normál 2 2" xfId="4"/>
    <cellStyle name="Százalék" xfId="5" builtinId="5"/>
    <cellStyle name="Százalék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L36"/>
  <sheetViews>
    <sheetView topLeftCell="A7" workbookViewId="0">
      <selection activeCell="A21" sqref="A21"/>
    </sheetView>
  </sheetViews>
  <sheetFormatPr defaultColWidth="9.109375" defaultRowHeight="13.8"/>
  <cols>
    <col min="1" max="1" width="44.88671875" style="40" customWidth="1"/>
    <col min="2" max="2" width="11.5546875" style="40" customWidth="1"/>
    <col min="3" max="3" width="11.5546875" style="47" customWidth="1"/>
    <col min="4" max="4" width="11.109375" style="40" customWidth="1"/>
    <col min="5" max="5" width="11.44140625" style="40" customWidth="1"/>
    <col min="6" max="6" width="9.33203125" style="40" customWidth="1"/>
    <col min="7" max="7" width="13" style="40" customWidth="1"/>
    <col min="8" max="8" width="12.109375" style="40" customWidth="1"/>
    <col min="9" max="9" width="14" style="49" customWidth="1"/>
    <col min="10" max="10" width="12" style="40" customWidth="1"/>
    <col min="11" max="11" width="10.109375" style="40" customWidth="1"/>
    <col min="12" max="12" width="9.6640625" style="40" customWidth="1"/>
    <col min="13" max="16384" width="9.109375" style="40"/>
  </cols>
  <sheetData>
    <row r="1" spans="1:12" ht="21.75" customHeight="1">
      <c r="A1" s="142" t="s">
        <v>22</v>
      </c>
      <c r="B1" s="144" t="s">
        <v>48</v>
      </c>
      <c r="C1" s="144"/>
      <c r="D1" s="144"/>
      <c r="E1" s="144"/>
      <c r="F1" s="145"/>
      <c r="G1" s="146" t="s">
        <v>50</v>
      </c>
      <c r="H1" s="146"/>
      <c r="I1" s="146"/>
      <c r="J1" s="146"/>
      <c r="K1" s="146"/>
      <c r="L1" s="147"/>
    </row>
    <row r="2" spans="1:12" ht="55.2">
      <c r="A2" s="143"/>
      <c r="B2" s="41" t="s">
        <v>70</v>
      </c>
      <c r="C2" s="41" t="s">
        <v>67</v>
      </c>
      <c r="D2" s="41" t="s">
        <v>28</v>
      </c>
      <c r="E2" s="41" t="s">
        <v>73</v>
      </c>
      <c r="F2" s="42" t="s">
        <v>21</v>
      </c>
      <c r="G2" s="41" t="s">
        <v>70</v>
      </c>
      <c r="H2" s="41" t="s">
        <v>68</v>
      </c>
      <c r="I2" s="43" t="s">
        <v>31</v>
      </c>
      <c r="J2" s="41" t="s">
        <v>74</v>
      </c>
      <c r="K2" s="41" t="s">
        <v>0</v>
      </c>
      <c r="L2" s="42" t="s">
        <v>21</v>
      </c>
    </row>
    <row r="3" spans="1:12" s="47" customFormat="1">
      <c r="A3" s="85" t="s">
        <v>1</v>
      </c>
      <c r="B3" s="100">
        <f>SUM(B4:B12)</f>
        <v>65253</v>
      </c>
      <c r="C3" s="100">
        <f>+D3+E3</f>
        <v>89100</v>
      </c>
      <c r="D3" s="100"/>
      <c r="E3" s="100">
        <f>SUM(E4:E12)</f>
        <v>89100</v>
      </c>
      <c r="F3" s="45">
        <f>+C3/B3</f>
        <v>1.3654544618638222</v>
      </c>
      <c r="G3" s="46">
        <f>SUM(G4:G10)</f>
        <v>27364</v>
      </c>
      <c r="H3" s="44">
        <f t="shared" ref="H3:H28" si="0">+I3+J3+K3</f>
        <v>34286</v>
      </c>
      <c r="I3" s="44">
        <f>SUM(I4:I10)</f>
        <v>26286</v>
      </c>
      <c r="J3" s="44">
        <f>SUM(J4:J10)</f>
        <v>8000</v>
      </c>
      <c r="K3" s="44">
        <f>SUM(K4:K10)</f>
        <v>0</v>
      </c>
      <c r="L3" s="45">
        <f>+H3/G3</f>
        <v>1.2529600935535741</v>
      </c>
    </row>
    <row r="4" spans="1:12" ht="27.6">
      <c r="A4" s="86" t="s">
        <v>2</v>
      </c>
      <c r="B4" s="87">
        <v>9197</v>
      </c>
      <c r="C4" s="101">
        <f t="shared" ref="C4:C24" si="1">+D4+E4</f>
        <v>12967</v>
      </c>
      <c r="D4" s="102"/>
      <c r="E4" s="87">
        <v>12967</v>
      </c>
      <c r="F4" s="45">
        <f t="shared" ref="F4:F29" si="2">+C4/B4</f>
        <v>1.4099162770468632</v>
      </c>
      <c r="G4" s="48">
        <v>0</v>
      </c>
      <c r="H4" s="101">
        <f t="shared" si="0"/>
        <v>0</v>
      </c>
      <c r="I4" s="87">
        <v>0</v>
      </c>
      <c r="J4" s="102"/>
      <c r="K4" s="102"/>
      <c r="L4" s="45"/>
    </row>
    <row r="5" spans="1:12" ht="27.6">
      <c r="A5" s="86" t="s">
        <v>3</v>
      </c>
      <c r="B5" s="87">
        <v>8396</v>
      </c>
      <c r="C5" s="101">
        <f t="shared" si="1"/>
        <v>6623</v>
      </c>
      <c r="D5" s="102"/>
      <c r="E5" s="87">
        <v>6623</v>
      </c>
      <c r="F5" s="45">
        <f t="shared" si="2"/>
        <v>0.78882801333968555</v>
      </c>
      <c r="G5" s="48">
        <v>6256</v>
      </c>
      <c r="H5" s="101">
        <f t="shared" si="0"/>
        <v>5067</v>
      </c>
      <c r="I5" s="87">
        <v>5067</v>
      </c>
      <c r="J5" s="102"/>
      <c r="K5" s="102"/>
      <c r="L5" s="45">
        <f t="shared" ref="L5:L29" si="3">+H5/G5</f>
        <v>0.80994245524296671</v>
      </c>
    </row>
    <row r="6" spans="1:12">
      <c r="A6" s="86" t="s">
        <v>4</v>
      </c>
      <c r="B6" s="87">
        <v>6547</v>
      </c>
      <c r="C6" s="101">
        <f t="shared" si="1"/>
        <v>6554</v>
      </c>
      <c r="D6" s="102"/>
      <c r="E6" s="87">
        <v>6554</v>
      </c>
      <c r="F6" s="45">
        <f t="shared" si="2"/>
        <v>1.0010691919963342</v>
      </c>
      <c r="G6" s="48">
        <v>1540</v>
      </c>
      <c r="H6" s="101">
        <f t="shared" si="0"/>
        <v>1540</v>
      </c>
      <c r="I6" s="87">
        <v>1540</v>
      </c>
      <c r="J6" s="102"/>
      <c r="K6" s="102"/>
      <c r="L6" s="45">
        <f t="shared" si="3"/>
        <v>1</v>
      </c>
    </row>
    <row r="7" spans="1:12">
      <c r="A7" s="86" t="s">
        <v>5</v>
      </c>
      <c r="B7" s="87">
        <v>6992</v>
      </c>
      <c r="C7" s="101">
        <f t="shared" si="1"/>
        <v>6561</v>
      </c>
      <c r="D7" s="102"/>
      <c r="E7" s="87">
        <v>6561</v>
      </c>
      <c r="F7" s="45">
        <f t="shared" si="2"/>
        <v>0.93835812356979409</v>
      </c>
      <c r="G7" s="48">
        <v>0</v>
      </c>
      <c r="H7" s="101">
        <f t="shared" si="0"/>
        <v>0</v>
      </c>
      <c r="I7" s="87"/>
      <c r="J7" s="102"/>
      <c r="K7" s="102"/>
      <c r="L7" s="45"/>
    </row>
    <row r="8" spans="1:12">
      <c r="A8" s="86" t="s">
        <v>6</v>
      </c>
      <c r="B8" s="87">
        <v>10967</v>
      </c>
      <c r="C8" s="101">
        <f t="shared" si="1"/>
        <v>14298</v>
      </c>
      <c r="D8" s="102"/>
      <c r="E8" s="87">
        <v>14298</v>
      </c>
      <c r="F8" s="45">
        <f t="shared" si="2"/>
        <v>1.3037293699279657</v>
      </c>
      <c r="G8" s="48">
        <v>10880</v>
      </c>
      <c r="H8" s="101">
        <f t="shared" si="0"/>
        <v>10880</v>
      </c>
      <c r="I8" s="87">
        <v>10880</v>
      </c>
      <c r="J8" s="102"/>
      <c r="K8" s="102"/>
      <c r="L8" s="45">
        <f t="shared" si="3"/>
        <v>1</v>
      </c>
    </row>
    <row r="9" spans="1:12" ht="27.6">
      <c r="A9" s="86" t="s">
        <v>7</v>
      </c>
      <c r="B9" s="87">
        <v>16115</v>
      </c>
      <c r="C9" s="101">
        <f t="shared" si="1"/>
        <v>13128</v>
      </c>
      <c r="D9" s="102"/>
      <c r="E9" s="87">
        <v>13128</v>
      </c>
      <c r="F9" s="45">
        <f t="shared" si="2"/>
        <v>0.81464474092460437</v>
      </c>
      <c r="G9" s="48">
        <v>7863</v>
      </c>
      <c r="H9" s="101">
        <f t="shared" si="0"/>
        <v>7901</v>
      </c>
      <c r="I9" s="87">
        <v>7901</v>
      </c>
      <c r="J9" s="102"/>
      <c r="K9" s="102"/>
      <c r="L9" s="45">
        <f t="shared" si="3"/>
        <v>1.0048327610326848</v>
      </c>
    </row>
    <row r="10" spans="1:12" ht="31.5" customHeight="1">
      <c r="A10" s="86" t="s">
        <v>87</v>
      </c>
      <c r="B10" s="87">
        <v>5388</v>
      </c>
      <c r="C10" s="101">
        <f t="shared" si="1"/>
        <v>26269</v>
      </c>
      <c r="D10" s="102"/>
      <c r="E10" s="87">
        <v>26269</v>
      </c>
      <c r="F10" s="45">
        <f t="shared" si="2"/>
        <v>4.8754639940608762</v>
      </c>
      <c r="G10" s="48">
        <v>825</v>
      </c>
      <c r="H10" s="101">
        <f t="shared" si="0"/>
        <v>8898</v>
      </c>
      <c r="I10" s="87">
        <v>898</v>
      </c>
      <c r="J10" s="87">
        <v>8000</v>
      </c>
      <c r="K10" s="102"/>
      <c r="L10" s="45">
        <f t="shared" si="3"/>
        <v>10.785454545454545</v>
      </c>
    </row>
    <row r="11" spans="1:12">
      <c r="A11" s="86" t="s">
        <v>85</v>
      </c>
      <c r="B11" s="87"/>
      <c r="C11" s="101">
        <f t="shared" si="1"/>
        <v>645</v>
      </c>
      <c r="D11" s="102"/>
      <c r="E11" s="87">
        <v>645</v>
      </c>
      <c r="F11" s="45"/>
      <c r="G11" s="48">
        <v>0</v>
      </c>
      <c r="H11" s="101">
        <f t="shared" si="0"/>
        <v>0</v>
      </c>
      <c r="I11" s="87">
        <v>0</v>
      </c>
      <c r="J11" s="102"/>
      <c r="K11" s="102"/>
      <c r="L11" s="45"/>
    </row>
    <row r="12" spans="1:12" ht="27.6">
      <c r="A12" s="86" t="s">
        <v>47</v>
      </c>
      <c r="B12" s="87">
        <v>1651</v>
      </c>
      <c r="C12" s="101">
        <f t="shared" si="1"/>
        <v>2055</v>
      </c>
      <c r="D12" s="102"/>
      <c r="E12" s="87">
        <v>2055</v>
      </c>
      <c r="F12" s="45">
        <f t="shared" si="2"/>
        <v>1.2447001817080556</v>
      </c>
      <c r="G12" s="48">
        <v>0</v>
      </c>
      <c r="H12" s="101">
        <v>0</v>
      </c>
      <c r="I12" s="87">
        <v>0</v>
      </c>
      <c r="J12" s="102"/>
      <c r="K12" s="102"/>
      <c r="L12" s="45"/>
    </row>
    <row r="13" spans="1:12" s="47" customFormat="1">
      <c r="A13" s="85" t="s">
        <v>8</v>
      </c>
      <c r="B13" s="100">
        <f>SUM(B14:B24)</f>
        <v>291916</v>
      </c>
      <c r="C13" s="100">
        <f t="shared" si="1"/>
        <v>337986</v>
      </c>
      <c r="D13" s="100">
        <f>SUM(D14:D24)</f>
        <v>319417</v>
      </c>
      <c r="E13" s="100">
        <f>SUM(E14:E24)</f>
        <v>18569</v>
      </c>
      <c r="F13" s="45">
        <f t="shared" si="2"/>
        <v>1.1578193726962551</v>
      </c>
      <c r="G13" s="64">
        <f>SUM(G14:G24)</f>
        <v>253387</v>
      </c>
      <c r="H13" s="100">
        <f t="shared" si="0"/>
        <v>310839</v>
      </c>
      <c r="I13" s="100">
        <f>SUM(I14:I24)</f>
        <v>266695</v>
      </c>
      <c r="J13" s="100">
        <f>SUM(J14:J24)</f>
        <v>38505</v>
      </c>
      <c r="K13" s="100">
        <f>SUM(K14:K24)</f>
        <v>5639</v>
      </c>
      <c r="L13" s="45">
        <f t="shared" si="3"/>
        <v>1.2267361782569746</v>
      </c>
    </row>
    <row r="14" spans="1:12">
      <c r="A14" s="86" t="s">
        <v>9</v>
      </c>
      <c r="B14" s="87">
        <v>167696</v>
      </c>
      <c r="C14" s="101">
        <f t="shared" si="1"/>
        <v>186879</v>
      </c>
      <c r="D14" s="87">
        <v>176435</v>
      </c>
      <c r="E14" s="87">
        <v>10444</v>
      </c>
      <c r="F14" s="45">
        <f t="shared" si="2"/>
        <v>1.1143915179849251</v>
      </c>
      <c r="G14" s="48">
        <v>151312</v>
      </c>
      <c r="H14" s="101">
        <f t="shared" si="0"/>
        <v>175671</v>
      </c>
      <c r="I14" s="87">
        <v>163348</v>
      </c>
      <c r="J14" s="87">
        <v>6684</v>
      </c>
      <c r="K14" s="87">
        <v>5639</v>
      </c>
      <c r="L14" s="45">
        <f t="shared" si="3"/>
        <v>1.1609852490218886</v>
      </c>
    </row>
    <row r="15" spans="1:12">
      <c r="A15" s="86" t="s">
        <v>90</v>
      </c>
      <c r="B15" s="87">
        <v>46896</v>
      </c>
      <c r="C15" s="101">
        <f t="shared" si="1"/>
        <v>77681</v>
      </c>
      <c r="D15" s="87">
        <f>77138+543</f>
        <v>77681</v>
      </c>
      <c r="E15" s="102"/>
      <c r="F15" s="45">
        <f t="shared" si="2"/>
        <v>1.6564525759126578</v>
      </c>
      <c r="G15" s="48">
        <v>46083</v>
      </c>
      <c r="H15" s="101">
        <f t="shared" si="0"/>
        <v>74640</v>
      </c>
      <c r="I15" s="87">
        <v>47769</v>
      </c>
      <c r="J15" s="87">
        <v>26871</v>
      </c>
      <c r="K15" s="102"/>
      <c r="L15" s="45">
        <f t="shared" si="3"/>
        <v>1.6196862183451599</v>
      </c>
    </row>
    <row r="16" spans="1:12">
      <c r="A16" s="86" t="s">
        <v>10</v>
      </c>
      <c r="B16" s="87">
        <v>500</v>
      </c>
      <c r="C16" s="101">
        <f t="shared" si="1"/>
        <v>500</v>
      </c>
      <c r="D16" s="87">
        <v>500</v>
      </c>
      <c r="E16" s="102"/>
      <c r="F16" s="45">
        <f t="shared" si="2"/>
        <v>1</v>
      </c>
      <c r="G16" s="48">
        <v>250</v>
      </c>
      <c r="H16" s="101">
        <f t="shared" si="0"/>
        <v>250</v>
      </c>
      <c r="I16" s="87">
        <v>250</v>
      </c>
      <c r="J16" s="102"/>
      <c r="K16" s="102"/>
      <c r="L16" s="45">
        <f t="shared" si="3"/>
        <v>1</v>
      </c>
    </row>
    <row r="17" spans="1:12">
      <c r="A17" s="86" t="s">
        <v>11</v>
      </c>
      <c r="B17" s="87">
        <v>1751</v>
      </c>
      <c r="C17" s="101">
        <f t="shared" si="1"/>
        <v>1531</v>
      </c>
      <c r="D17" s="87">
        <v>1531</v>
      </c>
      <c r="E17" s="87">
        <v>0</v>
      </c>
      <c r="F17" s="45">
        <f t="shared" si="2"/>
        <v>0.87435750999428896</v>
      </c>
      <c r="G17" s="48">
        <v>0</v>
      </c>
      <c r="H17" s="101">
        <f t="shared" si="0"/>
        <v>0</v>
      </c>
      <c r="I17" s="87">
        <v>0</v>
      </c>
      <c r="J17" s="148"/>
      <c r="K17" s="148"/>
      <c r="L17" s="45"/>
    </row>
    <row r="18" spans="1:12">
      <c r="A18" s="86" t="s">
        <v>12</v>
      </c>
      <c r="B18" s="87">
        <v>3661</v>
      </c>
      <c r="C18" s="101">
        <f t="shared" si="1"/>
        <v>1246</v>
      </c>
      <c r="D18" s="102"/>
      <c r="E18" s="87">
        <v>1246</v>
      </c>
      <c r="F18" s="45">
        <f t="shared" si="2"/>
        <v>0.34034416826003822</v>
      </c>
      <c r="G18" s="48">
        <v>0</v>
      </c>
      <c r="H18" s="101">
        <f t="shared" si="0"/>
        <v>0</v>
      </c>
      <c r="I18" s="87">
        <v>0</v>
      </c>
      <c r="J18" s="149"/>
      <c r="K18" s="149"/>
      <c r="L18" s="45"/>
    </row>
    <row r="19" spans="1:12" ht="16.5" customHeight="1">
      <c r="A19" s="86" t="s">
        <v>13</v>
      </c>
      <c r="B19" s="87">
        <v>4830</v>
      </c>
      <c r="C19" s="101">
        <f t="shared" si="1"/>
        <v>1925</v>
      </c>
      <c r="D19" s="102"/>
      <c r="E19" s="87">
        <v>1925</v>
      </c>
      <c r="F19" s="45">
        <f t="shared" si="2"/>
        <v>0.39855072463768115</v>
      </c>
      <c r="G19" s="48">
        <v>0</v>
      </c>
      <c r="H19" s="101">
        <f t="shared" si="0"/>
        <v>0</v>
      </c>
      <c r="I19" s="87">
        <v>0</v>
      </c>
      <c r="J19" s="150"/>
      <c r="K19" s="150"/>
      <c r="L19" s="45"/>
    </row>
    <row r="20" spans="1:12">
      <c r="A20" s="86" t="s">
        <v>14</v>
      </c>
      <c r="B20" s="87">
        <v>16752</v>
      </c>
      <c r="C20" s="101">
        <f t="shared" si="1"/>
        <v>16799</v>
      </c>
      <c r="D20" s="87">
        <v>15218</v>
      </c>
      <c r="E20" s="87">
        <v>1581</v>
      </c>
      <c r="F20" s="45">
        <f t="shared" si="2"/>
        <v>1.0028056351480421</v>
      </c>
      <c r="G20" s="48">
        <v>13516</v>
      </c>
      <c r="H20" s="101">
        <f t="shared" si="0"/>
        <v>13070</v>
      </c>
      <c r="I20" s="87">
        <v>13070</v>
      </c>
      <c r="J20" s="102"/>
      <c r="K20" s="102"/>
      <c r="L20" s="45">
        <f t="shared" si="3"/>
        <v>0.96700207161882212</v>
      </c>
    </row>
    <row r="21" spans="1:12" ht="27.6">
      <c r="A21" s="86" t="s">
        <v>93</v>
      </c>
      <c r="B21" s="87"/>
      <c r="C21" s="101">
        <f t="shared" si="1"/>
        <v>3373</v>
      </c>
      <c r="D21" s="87"/>
      <c r="E21" s="87">
        <v>3373</v>
      </c>
      <c r="F21" s="45"/>
      <c r="G21" s="48">
        <v>0</v>
      </c>
      <c r="H21" s="101">
        <f t="shared" si="0"/>
        <v>0</v>
      </c>
      <c r="I21" s="87">
        <v>0</v>
      </c>
      <c r="J21" s="102"/>
      <c r="K21" s="102"/>
      <c r="L21" s="45"/>
    </row>
    <row r="22" spans="1:12">
      <c r="A22" s="86" t="s">
        <v>15</v>
      </c>
      <c r="B22" s="87">
        <v>23920</v>
      </c>
      <c r="C22" s="101">
        <f t="shared" si="1"/>
        <v>22833</v>
      </c>
      <c r="D22" s="87">
        <f>21883+950</f>
        <v>22833</v>
      </c>
      <c r="E22" s="102"/>
      <c r="F22" s="45">
        <f t="shared" si="2"/>
        <v>0.95455685618729103</v>
      </c>
      <c r="G22" s="48">
        <v>17979</v>
      </c>
      <c r="H22" s="101">
        <f t="shared" si="0"/>
        <v>23333</v>
      </c>
      <c r="I22" s="87">
        <v>22383</v>
      </c>
      <c r="J22" s="87">
        <v>950</v>
      </c>
      <c r="K22" s="102"/>
      <c r="L22" s="45">
        <f t="shared" si="3"/>
        <v>1.2977918682907836</v>
      </c>
    </row>
    <row r="23" spans="1:12">
      <c r="A23" s="86" t="s">
        <v>16</v>
      </c>
      <c r="B23" s="87">
        <v>9473</v>
      </c>
      <c r="C23" s="101">
        <f t="shared" si="1"/>
        <v>9295</v>
      </c>
      <c r="D23" s="87">
        <v>9295</v>
      </c>
      <c r="E23" s="102"/>
      <c r="F23" s="45">
        <f t="shared" si="2"/>
        <v>0.98120975403779165</v>
      </c>
      <c r="G23" s="48">
        <v>9000</v>
      </c>
      <c r="H23" s="101">
        <f t="shared" si="0"/>
        <v>9000</v>
      </c>
      <c r="I23" s="87">
        <v>9000</v>
      </c>
      <c r="J23" s="102"/>
      <c r="K23" s="102"/>
      <c r="L23" s="45">
        <f t="shared" si="3"/>
        <v>1</v>
      </c>
    </row>
    <row r="24" spans="1:12" ht="27.6">
      <c r="A24" s="86" t="s">
        <v>17</v>
      </c>
      <c r="B24" s="87">
        <v>16437</v>
      </c>
      <c r="C24" s="101">
        <f t="shared" si="1"/>
        <v>15924</v>
      </c>
      <c r="D24" s="87">
        <v>15924</v>
      </c>
      <c r="E24" s="102"/>
      <c r="F24" s="45">
        <f t="shared" si="2"/>
        <v>0.96878992516882645</v>
      </c>
      <c r="G24" s="48">
        <v>15247</v>
      </c>
      <c r="H24" s="101">
        <f t="shared" si="0"/>
        <v>14875</v>
      </c>
      <c r="I24" s="87">
        <v>10875</v>
      </c>
      <c r="J24" s="87">
        <v>4000</v>
      </c>
      <c r="K24" s="102"/>
      <c r="L24" s="45">
        <f t="shared" si="3"/>
        <v>0.97560175772283075</v>
      </c>
    </row>
    <row r="25" spans="1:12" s="50" customFormat="1" ht="27.6">
      <c r="A25" s="80" t="s">
        <v>18</v>
      </c>
      <c r="B25" s="100"/>
      <c r="C25" s="100"/>
      <c r="D25" s="100"/>
      <c r="E25" s="100"/>
      <c r="F25" s="45"/>
      <c r="G25" s="64">
        <f>SUM(G26:G28)</f>
        <v>82264</v>
      </c>
      <c r="H25" s="100">
        <f>+I25+J25+K25</f>
        <v>75000</v>
      </c>
      <c r="I25" s="100">
        <f>SUM(I26:I28)</f>
        <v>0</v>
      </c>
      <c r="J25" s="100">
        <f>SUM(J26:J28)</f>
        <v>75000</v>
      </c>
      <c r="K25" s="100">
        <f>SUM(K26:K28)</f>
        <v>0</v>
      </c>
      <c r="L25" s="45">
        <f t="shared" si="3"/>
        <v>0.91169892054847812</v>
      </c>
    </row>
    <row r="26" spans="1:12">
      <c r="A26" s="86" t="s">
        <v>81</v>
      </c>
      <c r="B26" s="102"/>
      <c r="C26" s="102"/>
      <c r="D26" s="102"/>
      <c r="E26" s="102"/>
      <c r="F26" s="45"/>
      <c r="G26" s="38">
        <v>61664</v>
      </c>
      <c r="H26" s="38">
        <f>+I26+J26+K26</f>
        <v>55000</v>
      </c>
      <c r="I26" s="102"/>
      <c r="J26" s="87">
        <v>55000</v>
      </c>
      <c r="K26" s="102"/>
      <c r="L26" s="45">
        <f t="shared" si="3"/>
        <v>0.89193046185781011</v>
      </c>
    </row>
    <row r="27" spans="1:12">
      <c r="A27" s="86" t="s">
        <v>82</v>
      </c>
      <c r="B27" s="102"/>
      <c r="C27" s="102"/>
      <c r="D27" s="102"/>
      <c r="E27" s="102"/>
      <c r="F27" s="45"/>
      <c r="G27" s="38">
        <v>18600</v>
      </c>
      <c r="H27" s="38">
        <f>+I27+J27+K27</f>
        <v>18000</v>
      </c>
      <c r="I27" s="102"/>
      <c r="J27" s="87">
        <v>18000</v>
      </c>
      <c r="K27" s="102"/>
      <c r="L27" s="45">
        <f t="shared" si="3"/>
        <v>0.967741935483871</v>
      </c>
    </row>
    <row r="28" spans="1:12">
      <c r="A28" s="86" t="s">
        <v>83</v>
      </c>
      <c r="B28" s="102"/>
      <c r="C28" s="102"/>
      <c r="D28" s="102"/>
      <c r="E28" s="102"/>
      <c r="F28" s="45"/>
      <c r="G28" s="39">
        <v>2000</v>
      </c>
      <c r="H28" s="38">
        <f t="shared" si="0"/>
        <v>2000</v>
      </c>
      <c r="I28" s="102"/>
      <c r="J28" s="87">
        <v>2000</v>
      </c>
      <c r="K28" s="102"/>
      <c r="L28" s="45">
        <f t="shared" si="3"/>
        <v>1</v>
      </c>
    </row>
    <row r="29" spans="1:12" s="47" customFormat="1">
      <c r="A29" s="51" t="s">
        <v>19</v>
      </c>
      <c r="B29" s="64">
        <f t="shared" ref="B29:K29" si="4">SUM(B25,B13,B3)</f>
        <v>357169</v>
      </c>
      <c r="C29" s="64">
        <f t="shared" si="4"/>
        <v>427086</v>
      </c>
      <c r="D29" s="64">
        <f t="shared" si="4"/>
        <v>319417</v>
      </c>
      <c r="E29" s="64">
        <f t="shared" si="4"/>
        <v>107669</v>
      </c>
      <c r="F29" s="45">
        <f t="shared" si="2"/>
        <v>1.1957532708605729</v>
      </c>
      <c r="G29" s="64">
        <f t="shared" si="4"/>
        <v>363015</v>
      </c>
      <c r="H29" s="64">
        <f t="shared" si="4"/>
        <v>420125</v>
      </c>
      <c r="I29" s="64">
        <f t="shared" si="4"/>
        <v>292981</v>
      </c>
      <c r="J29" s="64">
        <f t="shared" si="4"/>
        <v>121505</v>
      </c>
      <c r="K29" s="64">
        <f t="shared" si="4"/>
        <v>5639</v>
      </c>
      <c r="L29" s="45">
        <f t="shared" si="3"/>
        <v>1.1573213228103523</v>
      </c>
    </row>
    <row r="30" spans="1:12">
      <c r="B30" s="52"/>
      <c r="C30" s="50"/>
      <c r="D30" s="52"/>
      <c r="E30" s="52"/>
      <c r="F30" s="52"/>
      <c r="G30" s="52"/>
      <c r="H30" s="52"/>
      <c r="I30" s="53"/>
      <c r="J30" s="52"/>
      <c r="K30" s="52"/>
      <c r="L30" s="52"/>
    </row>
    <row r="34" spans="1:9">
      <c r="A34" s="54"/>
      <c r="I34" s="55"/>
    </row>
    <row r="35" spans="1:9">
      <c r="A35" s="54"/>
    </row>
    <row r="36" spans="1:9">
      <c r="A36" s="54"/>
    </row>
  </sheetData>
  <mergeCells count="5">
    <mergeCell ref="A1:A2"/>
    <mergeCell ref="B1:F1"/>
    <mergeCell ref="G1:L1"/>
    <mergeCell ref="J17:J19"/>
    <mergeCell ref="K17:K19"/>
  </mergeCells>
  <pageMargins left="0.70866141732283472" right="0.70866141732283472" top="0.74803149606299213" bottom="0.74803149606299213" header="0.31496062992125984" footer="0.31496062992125984"/>
  <pageSetup paperSize="8" orientation="landscape" r:id="rId1"/>
  <headerFooter>
    <oddHeader>&amp;C&amp;"Times New Roman,Félkövér"&amp;12MARTONVÁSÁR VÁROS 2018. ÉVI KÖLTSÉGVETÉSI FELADATI(Költségek: E Ft-ban)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6" tint="0.59999389629810485"/>
    <pageSetUpPr fitToPage="1"/>
  </sheetPr>
  <dimension ref="A1:N44"/>
  <sheetViews>
    <sheetView topLeftCell="A19" zoomScale="90" zoomScaleNormal="90" workbookViewId="0">
      <selection activeCell="A45" sqref="A45"/>
    </sheetView>
  </sheetViews>
  <sheetFormatPr defaultColWidth="9.109375" defaultRowHeight="13.8"/>
  <cols>
    <col min="1" max="1" width="43.6640625" style="63" customWidth="1"/>
    <col min="2" max="2" width="12.44140625" style="72" customWidth="1"/>
    <col min="3" max="3" width="11.77734375" style="59" customWidth="1"/>
    <col min="4" max="4" width="12.88671875" style="63" customWidth="1"/>
    <col min="5" max="5" width="12.5546875" style="63" customWidth="1"/>
    <col min="6" max="6" width="11.33203125" style="16" customWidth="1"/>
    <col min="7" max="7" width="11.33203125" style="63" customWidth="1"/>
    <col min="8" max="8" width="12.109375" style="56" customWidth="1"/>
    <col min="9" max="9" width="12.88671875" style="63" customWidth="1"/>
    <col min="10" max="10" width="12.44140625" style="63" customWidth="1"/>
    <col min="11" max="11" width="9.5546875" style="63" customWidth="1"/>
    <col min="12" max="12" width="14.5546875" style="63" customWidth="1"/>
    <col min="13" max="13" width="11.33203125" style="63" bestFit="1" customWidth="1"/>
    <col min="14" max="16384" width="9.109375" style="63"/>
  </cols>
  <sheetData>
    <row r="1" spans="1:12" s="56" customFormat="1" ht="15.75" customHeight="1">
      <c r="A1" s="142" t="s">
        <v>29</v>
      </c>
      <c r="B1" s="144" t="s">
        <v>48</v>
      </c>
      <c r="C1" s="144"/>
      <c r="D1" s="144"/>
      <c r="E1" s="144"/>
      <c r="F1" s="145"/>
      <c r="G1" s="152" t="s">
        <v>50</v>
      </c>
      <c r="H1" s="152"/>
      <c r="I1" s="152"/>
      <c r="J1" s="152"/>
      <c r="K1" s="152"/>
      <c r="L1" s="153"/>
    </row>
    <row r="2" spans="1:12" s="56" customFormat="1" ht="55.2">
      <c r="A2" s="143"/>
      <c r="B2" s="41" t="s">
        <v>69</v>
      </c>
      <c r="C2" s="41" t="s">
        <v>67</v>
      </c>
      <c r="D2" s="41" t="s">
        <v>32</v>
      </c>
      <c r="E2" s="41" t="s">
        <v>73</v>
      </c>
      <c r="F2" s="57" t="s">
        <v>21</v>
      </c>
      <c r="G2" s="41" t="s">
        <v>69</v>
      </c>
      <c r="H2" s="41" t="s">
        <v>68</v>
      </c>
      <c r="I2" s="43" t="s">
        <v>31</v>
      </c>
      <c r="J2" s="41" t="s">
        <v>74</v>
      </c>
      <c r="K2" s="41" t="s">
        <v>0</v>
      </c>
      <c r="L2" s="42" t="s">
        <v>21</v>
      </c>
    </row>
    <row r="3" spans="1:12" s="59" customFormat="1">
      <c r="A3" s="80" t="s">
        <v>45</v>
      </c>
      <c r="B3" s="103">
        <v>216516</v>
      </c>
      <c r="C3" s="103">
        <f t="shared" ref="C3:C8" si="0">SUM(D3:E3)</f>
        <v>259428</v>
      </c>
      <c r="D3" s="103">
        <f>SUM(D4:D7)</f>
        <v>255182</v>
      </c>
      <c r="E3" s="103">
        <f>SUM(E4:E7)</f>
        <v>4246</v>
      </c>
      <c r="F3" s="45">
        <f>+C3/B3</f>
        <v>1.1981932051210995</v>
      </c>
      <c r="G3" s="70">
        <v>106994</v>
      </c>
      <c r="H3" s="103">
        <f t="shared" ref="H3:H14" si="1">SUM(I3:K3)</f>
        <v>115839</v>
      </c>
      <c r="I3" s="103">
        <f>SUM(I4:I7)</f>
        <v>103550</v>
      </c>
      <c r="J3" s="103">
        <f>SUM(J4:J7)</f>
        <v>12289</v>
      </c>
      <c r="K3" s="103">
        <f>SUM(K4:K7)</f>
        <v>0</v>
      </c>
      <c r="L3" s="58">
        <f>+H3/G3</f>
        <v>1.0826681870011403</v>
      </c>
    </row>
    <row r="4" spans="1:12">
      <c r="A4" s="78" t="s">
        <v>23</v>
      </c>
      <c r="B4" s="104">
        <v>169248</v>
      </c>
      <c r="C4" s="105">
        <f t="shared" si="0"/>
        <v>212550</v>
      </c>
      <c r="D4" s="104">
        <v>208304</v>
      </c>
      <c r="E4" s="104">
        <v>4246</v>
      </c>
      <c r="F4" s="60">
        <f t="shared" ref="F4:F32" si="2">+C4/B4</f>
        <v>1.2558494044242767</v>
      </c>
      <c r="G4" s="61">
        <v>101348</v>
      </c>
      <c r="H4" s="105">
        <f t="shared" si="1"/>
        <v>107114</v>
      </c>
      <c r="I4" s="87">
        <v>100714</v>
      </c>
      <c r="J4" s="104">
        <f>6100+300</f>
        <v>6400</v>
      </c>
      <c r="K4" s="104">
        <v>0</v>
      </c>
      <c r="L4" s="62">
        <f t="shared" ref="L4:L30" si="3">+H4/G4</f>
        <v>1.0568930812645538</v>
      </c>
    </row>
    <row r="5" spans="1:12">
      <c r="A5" s="78" t="s">
        <v>24</v>
      </c>
      <c r="B5" s="104">
        <v>2938</v>
      </c>
      <c r="C5" s="105">
        <f t="shared" si="0"/>
        <v>3061</v>
      </c>
      <c r="D5" s="104">
        <f>2911+150</f>
        <v>3061</v>
      </c>
      <c r="E5" s="67"/>
      <c r="F5" s="60">
        <f t="shared" si="2"/>
        <v>1.0418652144315861</v>
      </c>
      <c r="G5" s="61">
        <v>2985</v>
      </c>
      <c r="H5" s="105">
        <f t="shared" si="1"/>
        <v>2985</v>
      </c>
      <c r="I5" s="104">
        <v>1080</v>
      </c>
      <c r="J5" s="104">
        <v>1905</v>
      </c>
      <c r="K5" s="104">
        <v>0</v>
      </c>
      <c r="L5" s="62">
        <f t="shared" si="3"/>
        <v>1</v>
      </c>
    </row>
    <row r="6" spans="1:12" ht="41.4">
      <c r="A6" s="78" t="s">
        <v>37</v>
      </c>
      <c r="B6" s="104">
        <v>39666</v>
      </c>
      <c r="C6" s="105">
        <f t="shared" si="0"/>
        <v>40074</v>
      </c>
      <c r="D6" s="87">
        <f>30191+9883</f>
        <v>40074</v>
      </c>
      <c r="E6" s="67"/>
      <c r="F6" s="60">
        <f t="shared" si="2"/>
        <v>1.0102858871577673</v>
      </c>
      <c r="G6" s="61">
        <v>2407</v>
      </c>
      <c r="H6" s="105">
        <f t="shared" si="1"/>
        <v>5421</v>
      </c>
      <c r="I6" s="104">
        <v>1756</v>
      </c>
      <c r="J6" s="104">
        <f>1355+1905+405</f>
        <v>3665</v>
      </c>
      <c r="K6" s="87">
        <v>0</v>
      </c>
      <c r="L6" s="62">
        <f t="shared" si="3"/>
        <v>2.2521811383464896</v>
      </c>
    </row>
    <row r="7" spans="1:12" ht="32.4" customHeight="1">
      <c r="A7" s="78" t="s">
        <v>34</v>
      </c>
      <c r="B7" s="104">
        <v>3729</v>
      </c>
      <c r="C7" s="105">
        <f t="shared" si="0"/>
        <v>3743</v>
      </c>
      <c r="D7" s="87">
        <v>3743</v>
      </c>
      <c r="E7" s="67"/>
      <c r="F7" s="60">
        <f t="shared" si="2"/>
        <v>1.0037543577366586</v>
      </c>
      <c r="G7" s="61">
        <v>254</v>
      </c>
      <c r="H7" s="105">
        <f t="shared" si="1"/>
        <v>319</v>
      </c>
      <c r="I7" s="104">
        <v>0</v>
      </c>
      <c r="J7" s="104">
        <v>319</v>
      </c>
      <c r="K7" s="87">
        <v>0</v>
      </c>
      <c r="L7" s="62">
        <v>0</v>
      </c>
    </row>
    <row r="8" spans="1:12" s="59" customFormat="1" ht="27.6">
      <c r="A8" s="80" t="s">
        <v>38</v>
      </c>
      <c r="B8" s="103">
        <v>65501</v>
      </c>
      <c r="C8" s="103">
        <f t="shared" si="0"/>
        <v>65807</v>
      </c>
      <c r="D8" s="103">
        <f>SUM(D9:D12)</f>
        <v>51454</v>
      </c>
      <c r="E8" s="103">
        <f>SUM(E9:E12)</f>
        <v>14353</v>
      </c>
      <c r="F8" s="45">
        <f t="shared" si="2"/>
        <v>1.0046716844017649</v>
      </c>
      <c r="G8" s="103">
        <v>10094</v>
      </c>
      <c r="H8" s="103">
        <f t="shared" si="1"/>
        <v>11943</v>
      </c>
      <c r="I8" s="103">
        <f>SUM(I9:I12)</f>
        <v>6903</v>
      </c>
      <c r="J8" s="103">
        <f>SUM(J9:J12)</f>
        <v>5040</v>
      </c>
      <c r="K8" s="103">
        <f>SUM(K9:K12)</f>
        <v>0</v>
      </c>
      <c r="L8" s="58">
        <f t="shared" si="3"/>
        <v>1.1831781256191798</v>
      </c>
    </row>
    <row r="9" spans="1:12">
      <c r="A9" s="78" t="s">
        <v>25</v>
      </c>
      <c r="B9" s="154">
        <v>58386</v>
      </c>
      <c r="C9" s="155">
        <f>SUM(D9:E10)</f>
        <v>58747</v>
      </c>
      <c r="D9" s="151">
        <v>44394</v>
      </c>
      <c r="E9" s="104">
        <v>10978</v>
      </c>
      <c r="F9" s="60">
        <f t="shared" si="2"/>
        <v>1.006182989072723</v>
      </c>
      <c r="G9" s="61">
        <v>1055</v>
      </c>
      <c r="H9" s="105">
        <f t="shared" si="1"/>
        <v>2268</v>
      </c>
      <c r="I9" s="104">
        <v>0</v>
      </c>
      <c r="J9" s="104">
        <f>2187+81</f>
        <v>2268</v>
      </c>
      <c r="K9" s="104">
        <v>0</v>
      </c>
      <c r="L9" s="62">
        <f t="shared" si="3"/>
        <v>2.1497630331753554</v>
      </c>
    </row>
    <row r="10" spans="1:12" ht="15" customHeight="1">
      <c r="A10" s="79" t="s">
        <v>35</v>
      </c>
      <c r="B10" s="154"/>
      <c r="C10" s="156"/>
      <c r="D10" s="151"/>
      <c r="E10" s="104">
        <v>3375</v>
      </c>
      <c r="F10" s="60"/>
      <c r="G10" s="61">
        <v>9039</v>
      </c>
      <c r="H10" s="105">
        <f t="shared" si="1"/>
        <v>9675</v>
      </c>
      <c r="I10" s="104">
        <v>6903</v>
      </c>
      <c r="J10" s="104">
        <f>2286+486</f>
        <v>2772</v>
      </c>
      <c r="K10" s="104">
        <v>0</v>
      </c>
      <c r="L10" s="62">
        <f t="shared" si="3"/>
        <v>1.0703617656820446</v>
      </c>
    </row>
    <row r="11" spans="1:12" ht="15" customHeight="1">
      <c r="A11" s="79" t="s">
        <v>39</v>
      </c>
      <c r="B11" s="106">
        <v>1500</v>
      </c>
      <c r="C11" s="107">
        <f>SUM(D11:E11)</f>
        <v>1500</v>
      </c>
      <c r="D11" s="104">
        <v>1500</v>
      </c>
      <c r="E11" s="67"/>
      <c r="F11" s="60">
        <f t="shared" si="2"/>
        <v>1</v>
      </c>
      <c r="G11" s="61">
        <v>0</v>
      </c>
      <c r="H11" s="105">
        <f t="shared" si="1"/>
        <v>0</v>
      </c>
      <c r="I11" s="104">
        <v>0</v>
      </c>
      <c r="J11" s="104">
        <v>0</v>
      </c>
      <c r="K11" s="104">
        <v>0</v>
      </c>
      <c r="L11" s="62"/>
    </row>
    <row r="12" spans="1:12" ht="15" customHeight="1">
      <c r="A12" s="79" t="s">
        <v>75</v>
      </c>
      <c r="B12" s="106">
        <v>5615</v>
      </c>
      <c r="C12" s="107">
        <f>SUM(D12:E12)</f>
        <v>5560</v>
      </c>
      <c r="D12" s="87">
        <f>3950+1610</f>
        <v>5560</v>
      </c>
      <c r="E12" s="104"/>
      <c r="F12" s="60">
        <f t="shared" si="2"/>
        <v>0.99020480854853077</v>
      </c>
      <c r="G12" s="61">
        <v>0</v>
      </c>
      <c r="H12" s="105">
        <f t="shared" si="1"/>
        <v>0</v>
      </c>
      <c r="I12" s="104">
        <v>0</v>
      </c>
      <c r="J12" s="104">
        <v>0</v>
      </c>
      <c r="K12" s="104">
        <v>0</v>
      </c>
      <c r="L12" s="62"/>
    </row>
    <row r="13" spans="1:12" s="59" customFormat="1">
      <c r="A13" s="80" t="s">
        <v>41</v>
      </c>
      <c r="B13" s="103">
        <v>22369</v>
      </c>
      <c r="C13" s="103">
        <f>+D13+E13</f>
        <v>19231</v>
      </c>
      <c r="D13" s="103">
        <f>SUM(D14:D19)</f>
        <v>7500</v>
      </c>
      <c r="E13" s="103">
        <f>SUM(E14:E19)</f>
        <v>11731</v>
      </c>
      <c r="F13" s="45">
        <f t="shared" si="2"/>
        <v>0.85971657204166485</v>
      </c>
      <c r="G13" s="70">
        <v>0</v>
      </c>
      <c r="H13" s="103">
        <f t="shared" si="1"/>
        <v>0</v>
      </c>
      <c r="I13" s="103"/>
      <c r="J13" s="103"/>
      <c r="K13" s="103"/>
      <c r="L13" s="58"/>
    </row>
    <row r="14" spans="1:12">
      <c r="A14" s="81" t="s">
        <v>88</v>
      </c>
      <c r="B14" s="104">
        <v>0</v>
      </c>
      <c r="C14" s="105">
        <f>SUM(D14:E14)</f>
        <v>9631</v>
      </c>
      <c r="D14" s="87"/>
      <c r="E14" s="87">
        <v>9631</v>
      </c>
      <c r="F14" s="60"/>
      <c r="G14" s="61">
        <v>0</v>
      </c>
      <c r="H14" s="105">
        <f t="shared" si="1"/>
        <v>0</v>
      </c>
      <c r="I14" s="67"/>
      <c r="J14" s="67"/>
      <c r="K14" s="67"/>
      <c r="L14" s="62"/>
    </row>
    <row r="15" spans="1:12">
      <c r="A15" s="78" t="s">
        <v>42</v>
      </c>
      <c r="B15" s="104">
        <v>3308</v>
      </c>
      <c r="C15" s="105">
        <f t="shared" ref="C15:C21" si="4">SUM(D15:E15)</f>
        <v>0</v>
      </c>
      <c r="D15" s="87"/>
      <c r="E15" s="67"/>
      <c r="F15" s="60"/>
      <c r="G15" s="61">
        <v>0</v>
      </c>
      <c r="H15" s="105">
        <f t="shared" ref="H15:H21" si="5">SUM(I15:K15)</f>
        <v>0</v>
      </c>
      <c r="I15" s="67"/>
      <c r="J15" s="67"/>
      <c r="K15" s="67"/>
      <c r="L15" s="62"/>
    </row>
    <row r="16" spans="1:12">
      <c r="A16" s="78" t="s">
        <v>43</v>
      </c>
      <c r="B16" s="104">
        <v>8418</v>
      </c>
      <c r="C16" s="105">
        <f t="shared" si="4"/>
        <v>0</v>
      </c>
      <c r="D16" s="87"/>
      <c r="E16" s="67"/>
      <c r="F16" s="60"/>
      <c r="G16" s="61">
        <v>0</v>
      </c>
      <c r="H16" s="105">
        <f t="shared" si="5"/>
        <v>0</v>
      </c>
      <c r="I16" s="67"/>
      <c r="J16" s="67"/>
      <c r="K16" s="67"/>
      <c r="L16" s="62"/>
    </row>
    <row r="17" spans="1:14">
      <c r="A17" s="78" t="s">
        <v>89</v>
      </c>
      <c r="B17" s="104">
        <v>4643</v>
      </c>
      <c r="C17" s="105">
        <f t="shared" si="4"/>
        <v>2100</v>
      </c>
      <c r="D17" s="87"/>
      <c r="E17" s="87">
        <v>2100</v>
      </c>
      <c r="F17" s="60">
        <f>+C17/B17</f>
        <v>0.45229377557613609</v>
      </c>
      <c r="G17" s="61">
        <v>0</v>
      </c>
      <c r="H17" s="105">
        <f t="shared" si="5"/>
        <v>0</v>
      </c>
      <c r="I17" s="67"/>
      <c r="J17" s="67"/>
      <c r="K17" s="67"/>
      <c r="L17" s="62"/>
    </row>
    <row r="18" spans="1:14">
      <c r="A18" s="78" t="s">
        <v>40</v>
      </c>
      <c r="B18" s="104">
        <v>5000</v>
      </c>
      <c r="C18" s="105">
        <f t="shared" si="4"/>
        <v>6000</v>
      </c>
      <c r="D18" s="87">
        <v>6000</v>
      </c>
      <c r="E18" s="67"/>
      <c r="F18" s="60">
        <f>+C18/B18</f>
        <v>1.2</v>
      </c>
      <c r="G18" s="61">
        <v>0</v>
      </c>
      <c r="H18" s="105">
        <f t="shared" si="5"/>
        <v>0</v>
      </c>
      <c r="I18" s="67"/>
      <c r="J18" s="67"/>
      <c r="K18" s="67"/>
      <c r="L18" s="62"/>
    </row>
    <row r="19" spans="1:14" ht="27.6">
      <c r="A19" s="78" t="s">
        <v>44</v>
      </c>
      <c r="B19" s="104">
        <v>1000</v>
      </c>
      <c r="C19" s="105">
        <f t="shared" si="4"/>
        <v>1500</v>
      </c>
      <c r="D19" s="87">
        <v>1500</v>
      </c>
      <c r="E19" s="67"/>
      <c r="F19" s="60">
        <f>+C19/B19</f>
        <v>1.5</v>
      </c>
      <c r="G19" s="61">
        <v>0</v>
      </c>
      <c r="H19" s="105">
        <f t="shared" si="5"/>
        <v>0</v>
      </c>
      <c r="I19" s="67"/>
      <c r="J19" s="67"/>
      <c r="K19" s="67"/>
      <c r="L19" s="62"/>
    </row>
    <row r="20" spans="1:14" s="59" customFormat="1">
      <c r="A20" s="80" t="s">
        <v>46</v>
      </c>
      <c r="B20" s="103">
        <v>950</v>
      </c>
      <c r="C20" s="103">
        <f>+D20+E20</f>
        <v>950</v>
      </c>
      <c r="D20" s="103">
        <f>SUM(D21:D21)</f>
        <v>950</v>
      </c>
      <c r="E20" s="103">
        <f>SUM(E21:E21)</f>
        <v>0</v>
      </c>
      <c r="F20" s="45">
        <f>+C20/B20</f>
        <v>1</v>
      </c>
      <c r="G20" s="70">
        <v>0</v>
      </c>
      <c r="H20" s="103">
        <f>SUM(I20:K20)</f>
        <v>0</v>
      </c>
      <c r="I20" s="103"/>
      <c r="J20" s="103"/>
      <c r="K20" s="103"/>
      <c r="L20" s="58"/>
    </row>
    <row r="21" spans="1:14" ht="41.4">
      <c r="A21" s="78" t="s">
        <v>36</v>
      </c>
      <c r="B21" s="104">
        <v>950</v>
      </c>
      <c r="C21" s="105">
        <f t="shared" si="4"/>
        <v>950</v>
      </c>
      <c r="D21" s="87">
        <v>950</v>
      </c>
      <c r="E21" s="67"/>
      <c r="F21" s="60">
        <f t="shared" si="2"/>
        <v>1</v>
      </c>
      <c r="G21" s="61">
        <v>0</v>
      </c>
      <c r="H21" s="105">
        <f t="shared" si="5"/>
        <v>0</v>
      </c>
      <c r="I21" s="67"/>
      <c r="J21" s="67"/>
      <c r="K21" s="67"/>
      <c r="L21" s="62"/>
    </row>
    <row r="22" spans="1:14" s="65" customFormat="1">
      <c r="A22" s="82" t="s">
        <v>26</v>
      </c>
      <c r="B22" s="100">
        <v>4090</v>
      </c>
      <c r="C22" s="100">
        <f>+D22+E22</f>
        <v>4158</v>
      </c>
      <c r="D22" s="100">
        <f>SUM(D23:D24)</f>
        <v>4158</v>
      </c>
      <c r="E22" s="100">
        <f>SUM(E23:E24)</f>
        <v>0</v>
      </c>
      <c r="F22" s="45">
        <f t="shared" si="2"/>
        <v>1.0166259168704157</v>
      </c>
      <c r="G22" s="64">
        <v>4090</v>
      </c>
      <c r="H22" s="100">
        <f t="shared" ref="H22:H31" si="6">SUM(I22:K22)</f>
        <v>4050</v>
      </c>
      <c r="I22" s="100">
        <f>SUM(I23:I23)</f>
        <v>0</v>
      </c>
      <c r="J22" s="100">
        <f>SUM(J23:J23)</f>
        <v>0</v>
      </c>
      <c r="K22" s="100">
        <f>SUM(K23:K24)</f>
        <v>4050</v>
      </c>
      <c r="L22" s="45">
        <f t="shared" si="3"/>
        <v>0.99022004889975546</v>
      </c>
    </row>
    <row r="23" spans="1:14" s="16" customFormat="1">
      <c r="A23" s="83" t="s">
        <v>33</v>
      </c>
      <c r="B23" s="87">
        <v>0</v>
      </c>
      <c r="C23" s="101">
        <f>+D23+E23</f>
        <v>0</v>
      </c>
      <c r="D23" s="87"/>
      <c r="E23" s="102"/>
      <c r="F23" s="60"/>
      <c r="G23" s="48">
        <v>0</v>
      </c>
      <c r="H23" s="101">
        <f t="shared" si="6"/>
        <v>0</v>
      </c>
      <c r="I23" s="102"/>
      <c r="J23" s="102"/>
      <c r="K23" s="102"/>
      <c r="L23" s="60"/>
    </row>
    <row r="24" spans="1:14" s="16" customFormat="1">
      <c r="A24" s="83" t="s">
        <v>27</v>
      </c>
      <c r="B24" s="87">
        <v>4090</v>
      </c>
      <c r="C24" s="101">
        <f>+D24+E24</f>
        <v>4158</v>
      </c>
      <c r="D24" s="87">
        <v>4158</v>
      </c>
      <c r="E24" s="102"/>
      <c r="F24" s="60">
        <f t="shared" si="2"/>
        <v>1.0166259168704157</v>
      </c>
      <c r="G24" s="48">
        <v>4090</v>
      </c>
      <c r="H24" s="101">
        <f t="shared" si="6"/>
        <v>4050</v>
      </c>
      <c r="I24" s="102"/>
      <c r="J24" s="102"/>
      <c r="K24" s="87">
        <v>4050</v>
      </c>
      <c r="L24" s="60">
        <f t="shared" si="3"/>
        <v>0.99022004889975546</v>
      </c>
    </row>
    <row r="25" spans="1:14">
      <c r="A25" s="84" t="s">
        <v>30</v>
      </c>
      <c r="B25" s="103">
        <v>21763</v>
      </c>
      <c r="C25" s="66">
        <f>+C31</f>
        <v>16500</v>
      </c>
      <c r="D25" s="66">
        <f>+D31</f>
        <v>16500</v>
      </c>
      <c r="E25" s="66">
        <f>+E31</f>
        <v>0</v>
      </c>
      <c r="F25" s="60">
        <f t="shared" si="2"/>
        <v>0.75816753204980936</v>
      </c>
      <c r="G25" s="66">
        <v>252317</v>
      </c>
      <c r="H25" s="108">
        <f t="shared" si="6"/>
        <v>225693</v>
      </c>
      <c r="I25" s="109">
        <f>SUM(I26:I31)</f>
        <v>0</v>
      </c>
      <c r="J25" s="103">
        <f>SUM(J26:J31)</f>
        <v>225693</v>
      </c>
      <c r="K25" s="109">
        <f>SUM(K26:K31)</f>
        <v>0</v>
      </c>
      <c r="L25" s="58">
        <f t="shared" si="3"/>
        <v>0.89448194136740689</v>
      </c>
    </row>
    <row r="26" spans="1:14">
      <c r="A26" s="78" t="s">
        <v>76</v>
      </c>
      <c r="B26" s="67"/>
      <c r="C26" s="67"/>
      <c r="D26" s="67"/>
      <c r="E26" s="67"/>
      <c r="F26" s="60"/>
      <c r="G26" s="61">
        <v>3000</v>
      </c>
      <c r="H26" s="105">
        <f t="shared" si="6"/>
        <v>3500</v>
      </c>
      <c r="I26" s="67"/>
      <c r="J26" s="104">
        <v>3500</v>
      </c>
      <c r="K26" s="67"/>
      <c r="L26" s="62">
        <f t="shared" si="3"/>
        <v>1.1666666666666667</v>
      </c>
    </row>
    <row r="27" spans="1:14">
      <c r="A27" s="78" t="s">
        <v>77</v>
      </c>
      <c r="B27" s="67"/>
      <c r="C27" s="67"/>
      <c r="D27" s="67"/>
      <c r="E27" s="67"/>
      <c r="F27" s="60"/>
      <c r="G27" s="61">
        <v>119482</v>
      </c>
      <c r="H27" s="105">
        <f t="shared" si="6"/>
        <v>136000</v>
      </c>
      <c r="I27" s="67"/>
      <c r="J27" s="104">
        <f>120000+16000</f>
        <v>136000</v>
      </c>
      <c r="K27" s="67"/>
      <c r="L27" s="62">
        <f t="shared" si="3"/>
        <v>1.1382467652031267</v>
      </c>
    </row>
    <row r="28" spans="1:14">
      <c r="A28" s="78" t="s">
        <v>78</v>
      </c>
      <c r="B28" s="67"/>
      <c r="C28" s="67"/>
      <c r="D28" s="67"/>
      <c r="E28" s="67"/>
      <c r="F28" s="60"/>
      <c r="G28" s="61">
        <v>69610</v>
      </c>
      <c r="H28" s="105">
        <f t="shared" si="6"/>
        <v>54000</v>
      </c>
      <c r="I28" s="67"/>
      <c r="J28" s="87">
        <v>54000</v>
      </c>
      <c r="K28" s="67"/>
      <c r="L28" s="62">
        <f t="shared" si="3"/>
        <v>0.77575061054446204</v>
      </c>
    </row>
    <row r="29" spans="1:14">
      <c r="A29" s="78" t="s">
        <v>79</v>
      </c>
      <c r="B29" s="67"/>
      <c r="C29" s="67"/>
      <c r="D29" s="67"/>
      <c r="E29" s="67"/>
      <c r="F29" s="60"/>
      <c r="G29" s="61">
        <v>20123</v>
      </c>
      <c r="H29" s="105">
        <f t="shared" si="6"/>
        <v>20000</v>
      </c>
      <c r="I29" s="67"/>
      <c r="J29" s="104">
        <v>20000</v>
      </c>
      <c r="K29" s="67"/>
      <c r="L29" s="62">
        <f t="shared" si="3"/>
        <v>0.99388759131342241</v>
      </c>
    </row>
    <row r="30" spans="1:14" ht="56.4" customHeight="1">
      <c r="A30" s="78" t="s">
        <v>80</v>
      </c>
      <c r="B30" s="67"/>
      <c r="C30" s="67"/>
      <c r="D30" s="67"/>
      <c r="E30" s="67"/>
      <c r="F30" s="60"/>
      <c r="G30" s="61">
        <v>18793</v>
      </c>
      <c r="H30" s="105">
        <f t="shared" si="6"/>
        <v>5693</v>
      </c>
      <c r="I30" s="67"/>
      <c r="J30" s="104">
        <f>600+43+700+4350</f>
        <v>5693</v>
      </c>
      <c r="K30" s="104">
        <v>0</v>
      </c>
      <c r="L30" s="62">
        <f t="shared" si="3"/>
        <v>0.30293194274463897</v>
      </c>
      <c r="N30" s="68"/>
    </row>
    <row r="31" spans="1:14" s="16" customFormat="1">
      <c r="A31" s="83" t="s">
        <v>86</v>
      </c>
      <c r="B31" s="87">
        <v>6289</v>
      </c>
      <c r="C31" s="101">
        <f>+D31</f>
        <v>16500</v>
      </c>
      <c r="D31" s="48">
        <v>16500</v>
      </c>
      <c r="E31" s="102"/>
      <c r="F31" s="60">
        <f t="shared" si="2"/>
        <v>2.6236285577993321</v>
      </c>
      <c r="G31" s="48">
        <v>5835</v>
      </c>
      <c r="H31" s="101">
        <f t="shared" si="6"/>
        <v>6500</v>
      </c>
      <c r="I31" s="102"/>
      <c r="J31" s="87">
        <v>6500</v>
      </c>
      <c r="K31" s="102"/>
      <c r="L31" s="60">
        <f>+H31/G31</f>
        <v>1.1139674378748929</v>
      </c>
    </row>
    <row r="32" spans="1:14" s="71" customFormat="1">
      <c r="A32" s="69" t="s">
        <v>19</v>
      </c>
      <c r="B32" s="70">
        <v>331189</v>
      </c>
      <c r="C32" s="70">
        <f>SUM(C25,C20,C22,C13,C8,C3)</f>
        <v>366074</v>
      </c>
      <c r="D32" s="70">
        <f>SUM(D25,D20,D22,D13,D8,D3)</f>
        <v>335744</v>
      </c>
      <c r="E32" s="70">
        <f>SUM(E25,E20,E22,E13,E8,E3)</f>
        <v>30330</v>
      </c>
      <c r="F32" s="60">
        <f t="shared" si="2"/>
        <v>1.1053326046456857</v>
      </c>
      <c r="G32" s="70">
        <f>SUM(G25,G22,G20,G13,G8,G3)</f>
        <v>373495</v>
      </c>
      <c r="H32" s="70">
        <f>SUM(H25,H22,H20,H13,H8,H3)</f>
        <v>357525</v>
      </c>
      <c r="I32" s="70">
        <f>SUM(I25,I22,I20,I13,I8,I3)</f>
        <v>110453</v>
      </c>
      <c r="J32" s="70">
        <f>SUM(J25,J22,J20,J13,J8,J3)</f>
        <v>243022</v>
      </c>
      <c r="K32" s="70">
        <f>SUM(K25,K22,K20,K13,K8,K3)</f>
        <v>4050</v>
      </c>
      <c r="L32" s="92">
        <f>+H32/G32</f>
        <v>0.95724173014364311</v>
      </c>
    </row>
    <row r="33" spans="1:12" ht="15.6">
      <c r="A33" s="52"/>
      <c r="C33" s="50"/>
      <c r="D33" s="73"/>
      <c r="E33" s="73"/>
      <c r="F33" s="74"/>
      <c r="G33" s="75"/>
      <c r="H33" s="76"/>
      <c r="I33" s="75"/>
      <c r="J33" s="75"/>
      <c r="K33" s="75"/>
      <c r="L33" s="77"/>
    </row>
    <row r="34" spans="1:12" ht="14.4" thickBot="1"/>
    <row r="35" spans="1:12" s="16" customFormat="1" ht="31.5" customHeight="1" thickBot="1">
      <c r="A35" s="89" t="s">
        <v>62</v>
      </c>
      <c r="B35" s="12">
        <v>212872</v>
      </c>
      <c r="C35" s="90">
        <f>+D35+E35</f>
        <v>72909</v>
      </c>
      <c r="D35" s="12">
        <v>72909</v>
      </c>
      <c r="E35" s="12"/>
      <c r="F35" s="13">
        <f>+D35/B35</f>
        <v>0.34250159720395357</v>
      </c>
      <c r="G35" s="14">
        <v>212872</v>
      </c>
      <c r="H35" s="90">
        <f>+I35</f>
        <v>72909</v>
      </c>
      <c r="I35" s="12">
        <v>72909</v>
      </c>
      <c r="J35" s="12"/>
      <c r="K35" s="12"/>
      <c r="L35" s="13">
        <f>+H35/G35</f>
        <v>0.34250159720395357</v>
      </c>
    </row>
    <row r="36" spans="1:12" s="16" customFormat="1" ht="15.6">
      <c r="A36" s="53"/>
      <c r="B36" s="88"/>
      <c r="C36" s="18"/>
      <c r="D36" s="19"/>
      <c r="E36" s="19"/>
      <c r="F36" s="11"/>
      <c r="G36" s="93"/>
      <c r="H36" s="93"/>
      <c r="I36" s="93"/>
      <c r="J36" s="93"/>
      <c r="K36" s="93"/>
      <c r="L36" s="11"/>
    </row>
    <row r="37" spans="1:12" s="16" customFormat="1" ht="16.2" thickBot="1">
      <c r="A37" s="17"/>
      <c r="B37" s="21"/>
      <c r="C37" s="22"/>
      <c r="D37" s="17"/>
      <c r="E37" s="17"/>
      <c r="F37" s="23"/>
      <c r="G37" s="94"/>
      <c r="H37" s="95"/>
      <c r="I37" s="94"/>
      <c r="J37" s="94"/>
      <c r="K37" s="94"/>
      <c r="L37" s="11"/>
    </row>
    <row r="38" spans="1:12" s="16" customFormat="1" ht="15.6">
      <c r="A38" s="157" t="s">
        <v>63</v>
      </c>
      <c r="B38" s="158"/>
      <c r="C38" s="158"/>
      <c r="D38" s="159"/>
      <c r="E38" s="163">
        <f>+J39-H39</f>
        <v>-15510</v>
      </c>
      <c r="F38" s="34"/>
      <c r="G38" s="35"/>
      <c r="H38" s="165" t="s">
        <v>60</v>
      </c>
      <c r="I38" s="165"/>
      <c r="J38" s="165" t="s">
        <v>61</v>
      </c>
      <c r="K38" s="166"/>
      <c r="L38" s="11"/>
    </row>
    <row r="39" spans="1:12" s="16" customFormat="1" ht="16.2" thickBot="1">
      <c r="A39" s="160"/>
      <c r="B39" s="161"/>
      <c r="C39" s="161"/>
      <c r="D39" s="162"/>
      <c r="E39" s="164"/>
      <c r="F39" s="36"/>
      <c r="G39" s="37"/>
      <c r="H39" s="167">
        <f>+C32+'Polgárok közvetlen szolg.'!C29+C35</f>
        <v>866069</v>
      </c>
      <c r="I39" s="168"/>
      <c r="J39" s="169">
        <f>+H32+'Polgárok közvetlen szolg.'!H29+H35</f>
        <v>850559</v>
      </c>
      <c r="K39" s="170"/>
      <c r="L39" s="11"/>
    </row>
    <row r="40" spans="1:12" s="16" customFormat="1" ht="14.4" thickBot="1">
      <c r="A40" s="24"/>
      <c r="B40" s="25"/>
      <c r="C40" s="26"/>
      <c r="D40" s="24"/>
      <c r="E40" s="24"/>
      <c r="F40" s="24"/>
      <c r="G40" s="24"/>
      <c r="H40" s="21"/>
      <c r="I40" s="24"/>
      <c r="J40" s="24"/>
      <c r="K40" s="24"/>
      <c r="L40" s="24"/>
    </row>
    <row r="41" spans="1:12" s="16" customFormat="1" ht="32.25" customHeight="1" thickBot="1">
      <c r="A41" s="27" t="s">
        <v>64</v>
      </c>
      <c r="B41" s="28"/>
      <c r="C41" s="29">
        <f>+J39-H39</f>
        <v>-15510</v>
      </c>
      <c r="D41" s="30"/>
      <c r="E41" s="12"/>
      <c r="F41" s="13"/>
      <c r="G41" s="14"/>
      <c r="H41" s="15"/>
      <c r="I41" s="12"/>
      <c r="J41" s="12"/>
      <c r="K41" s="20"/>
      <c r="L41" s="11"/>
    </row>
    <row r="43" spans="1:12" ht="14.4">
      <c r="A43" s="196" t="s">
        <v>92</v>
      </c>
    </row>
    <row r="44" spans="1:12">
      <c r="C44" s="197"/>
    </row>
  </sheetData>
  <mergeCells count="12">
    <mergeCell ref="A38:D39"/>
    <mergeCell ref="E38:E39"/>
    <mergeCell ref="H38:I38"/>
    <mergeCell ref="J38:K38"/>
    <mergeCell ref="H39:I39"/>
    <mergeCell ref="J39:K39"/>
    <mergeCell ref="A1:A2"/>
    <mergeCell ref="B1:F1"/>
    <mergeCell ref="D9:D10"/>
    <mergeCell ref="G1:L1"/>
    <mergeCell ref="B9:B10"/>
    <mergeCell ref="C9:C10"/>
  </mergeCells>
  <pageMargins left="0.70866141732283472" right="0.70866141732283472" top="0.74803149606299213" bottom="0.74803149606299213" header="0.31496062992125984" footer="0.31496062992125984"/>
  <pageSetup paperSize="8" scale="87" orientation="landscape" r:id="rId1"/>
  <headerFooter>
    <oddHeader>&amp;C&amp;"Times New Roman,Félkövér"&amp;12MARTONVÁSÁR VÁROS 2018. ÉVI KÖLTSÉGVETÉSI FELADATI(Költségek: E Ft-ban)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6" tint="0.39997558519241921"/>
    <pageSetUpPr fitToPage="1"/>
  </sheetPr>
  <dimension ref="A1:L22"/>
  <sheetViews>
    <sheetView tabSelected="1" zoomScale="90" zoomScaleNormal="90" workbookViewId="0">
      <selection activeCell="A9" sqref="A9"/>
    </sheetView>
  </sheetViews>
  <sheetFormatPr defaultColWidth="9.109375" defaultRowHeight="13.8"/>
  <cols>
    <col min="1" max="1" width="22.5546875" style="2" customWidth="1"/>
    <col min="2" max="2" width="14.88671875" style="2" customWidth="1"/>
    <col min="3" max="3" width="15.6640625" style="3" customWidth="1"/>
    <col min="4" max="4" width="15.109375" style="2" customWidth="1"/>
    <col min="5" max="5" width="11.6640625" style="2" customWidth="1"/>
    <col min="6" max="6" width="7.6640625" style="2" customWidth="1"/>
    <col min="7" max="7" width="13.109375" style="2" customWidth="1"/>
    <col min="8" max="8" width="16.33203125" style="3" bestFit="1" customWidth="1"/>
    <col min="9" max="9" width="12" style="2" customWidth="1"/>
    <col min="10" max="10" width="13.88671875" style="2" bestFit="1" customWidth="1"/>
    <col min="11" max="11" width="17.109375" style="2" customWidth="1"/>
    <col min="12" max="12" width="7.5546875" style="2" customWidth="1"/>
    <col min="13" max="16384" width="9.109375" style="2"/>
  </cols>
  <sheetData>
    <row r="1" spans="1:12" s="1" customFormat="1" ht="16.5" customHeight="1">
      <c r="A1" s="171" t="s">
        <v>66</v>
      </c>
      <c r="B1" s="173" t="s">
        <v>71</v>
      </c>
      <c r="C1" s="175" t="s">
        <v>67</v>
      </c>
      <c r="D1" s="177" t="s">
        <v>48</v>
      </c>
      <c r="E1" s="177"/>
      <c r="F1" s="178" t="s">
        <v>49</v>
      </c>
      <c r="G1" s="190" t="s">
        <v>72</v>
      </c>
      <c r="H1" s="175" t="s">
        <v>68</v>
      </c>
      <c r="I1" s="177" t="s">
        <v>50</v>
      </c>
      <c r="J1" s="177"/>
      <c r="K1" s="177"/>
      <c r="L1" s="178" t="s">
        <v>49</v>
      </c>
    </row>
    <row r="2" spans="1:12" s="1" customFormat="1" ht="40.5" customHeight="1" thickBot="1">
      <c r="A2" s="172"/>
      <c r="B2" s="174"/>
      <c r="C2" s="176"/>
      <c r="D2" s="127" t="s">
        <v>51</v>
      </c>
      <c r="E2" s="127" t="s">
        <v>52</v>
      </c>
      <c r="F2" s="179"/>
      <c r="G2" s="191"/>
      <c r="H2" s="176"/>
      <c r="I2" s="127" t="s">
        <v>31</v>
      </c>
      <c r="J2" s="127" t="s">
        <v>53</v>
      </c>
      <c r="K2" s="127" t="s">
        <v>0</v>
      </c>
      <c r="L2" s="179"/>
    </row>
    <row r="3" spans="1:12" s="1" customFormat="1" ht="27.6">
      <c r="A3" s="120" t="s">
        <v>94</v>
      </c>
      <c r="B3" s="121">
        <v>7229</v>
      </c>
      <c r="C3" s="122">
        <f t="shared" ref="C3:C11" si="0">+D3+E3</f>
        <v>151566</v>
      </c>
      <c r="D3" s="123">
        <f>165171-13605</f>
        <v>151566</v>
      </c>
      <c r="E3" s="123">
        <v>0</v>
      </c>
      <c r="F3" s="128">
        <f t="shared" ref="F3:F11" si="1">+B3/C3</f>
        <v>4.7695393425966244E-2</v>
      </c>
      <c r="G3" s="129">
        <v>0</v>
      </c>
      <c r="H3" s="124">
        <f>+I3+J3+K3</f>
        <v>176070</v>
      </c>
      <c r="I3" s="125">
        <v>0</v>
      </c>
      <c r="J3" s="123">
        <f>100000-9750-575-13605</f>
        <v>76070</v>
      </c>
      <c r="K3" s="123">
        <v>100000</v>
      </c>
      <c r="L3" s="126"/>
    </row>
    <row r="4" spans="1:12" s="1" customFormat="1" ht="15.6">
      <c r="A4" s="117" t="s">
        <v>84</v>
      </c>
      <c r="B4" s="115"/>
      <c r="C4" s="110">
        <f>C8+D4+E4</f>
        <v>1349709</v>
      </c>
      <c r="D4" s="111">
        <f>1110144+239565</f>
        <v>1349709</v>
      </c>
      <c r="E4" s="111"/>
      <c r="F4" s="33"/>
      <c r="G4" s="130"/>
      <c r="H4" s="91">
        <f t="shared" ref="H4:H11" si="2">+I4+J4+K4</f>
        <v>1349709</v>
      </c>
      <c r="I4" s="114"/>
      <c r="J4" s="111">
        <v>620658</v>
      </c>
      <c r="K4" s="111">
        <f>574643+154408</f>
        <v>729051</v>
      </c>
      <c r="L4" s="31"/>
    </row>
    <row r="5" spans="1:12" s="1" customFormat="1" ht="15.6">
      <c r="A5" s="117" t="s">
        <v>91</v>
      </c>
      <c r="B5" s="115">
        <v>1222</v>
      </c>
      <c r="C5" s="110">
        <f t="shared" si="0"/>
        <v>11262</v>
      </c>
      <c r="D5" s="111">
        <v>11262</v>
      </c>
      <c r="E5" s="111"/>
      <c r="F5" s="33">
        <f t="shared" si="1"/>
        <v>0.10850648197478245</v>
      </c>
      <c r="G5" s="130">
        <v>0</v>
      </c>
      <c r="H5" s="91">
        <f t="shared" si="2"/>
        <v>0</v>
      </c>
      <c r="I5" s="114">
        <v>0</v>
      </c>
      <c r="J5" s="111">
        <v>0</v>
      </c>
      <c r="K5" s="111">
        <v>0</v>
      </c>
      <c r="L5" s="31"/>
    </row>
    <row r="6" spans="1:12" ht="27.6">
      <c r="A6" s="117" t="s">
        <v>54</v>
      </c>
      <c r="B6" s="111">
        <v>42848</v>
      </c>
      <c r="C6" s="110">
        <f t="shared" si="0"/>
        <v>69863</v>
      </c>
      <c r="D6" s="111">
        <v>69863</v>
      </c>
      <c r="E6" s="112">
        <v>0</v>
      </c>
      <c r="F6" s="33">
        <f t="shared" si="1"/>
        <v>0.61331463006169218</v>
      </c>
      <c r="G6" s="131">
        <v>42848</v>
      </c>
      <c r="H6" s="91">
        <f t="shared" si="2"/>
        <v>69863</v>
      </c>
      <c r="I6" s="112"/>
      <c r="J6" s="111">
        <v>50305</v>
      </c>
      <c r="K6" s="111">
        <v>19558</v>
      </c>
      <c r="L6" s="96">
        <f>+H6/G6</f>
        <v>1.6304845033607169</v>
      </c>
    </row>
    <row r="7" spans="1:12" ht="15.6">
      <c r="A7" s="118" t="s">
        <v>55</v>
      </c>
      <c r="B7" s="111">
        <v>20000</v>
      </c>
      <c r="C7" s="110">
        <f t="shared" si="0"/>
        <v>13605</v>
      </c>
      <c r="D7" s="112">
        <v>13605</v>
      </c>
      <c r="E7" s="112">
        <v>0</v>
      </c>
      <c r="F7" s="33">
        <f t="shared" si="1"/>
        <v>1.470047776552738</v>
      </c>
      <c r="G7" s="131">
        <v>0</v>
      </c>
      <c r="H7" s="91">
        <f t="shared" si="2"/>
        <v>13605</v>
      </c>
      <c r="I7" s="112"/>
      <c r="J7" s="111">
        <f>14180-575</f>
        <v>13605</v>
      </c>
      <c r="K7" s="111"/>
      <c r="L7" s="96"/>
    </row>
    <row r="8" spans="1:12" ht="15.6">
      <c r="A8" s="118" t="s">
        <v>56</v>
      </c>
      <c r="B8" s="111">
        <v>200000</v>
      </c>
      <c r="C8" s="110">
        <f t="shared" si="0"/>
        <v>0</v>
      </c>
      <c r="D8" s="112"/>
      <c r="E8" s="112">
        <v>0</v>
      </c>
      <c r="F8" s="33"/>
      <c r="G8" s="131">
        <v>200000</v>
      </c>
      <c r="H8" s="91">
        <f t="shared" si="2"/>
        <v>0</v>
      </c>
      <c r="I8" s="112"/>
      <c r="J8" s="111"/>
      <c r="K8" s="111"/>
      <c r="L8" s="96">
        <f t="shared" ref="L8:L11" si="3">+H8/G8</f>
        <v>0</v>
      </c>
    </row>
    <row r="9" spans="1:12" ht="15.6">
      <c r="A9" s="118" t="s">
        <v>95</v>
      </c>
      <c r="B9" s="111"/>
      <c r="C9" s="110">
        <f t="shared" si="0"/>
        <v>1050</v>
      </c>
      <c r="D9" s="112">
        <v>1050</v>
      </c>
      <c r="E9" s="112"/>
      <c r="F9" s="33"/>
      <c r="G9" s="131"/>
      <c r="H9" s="91">
        <f t="shared" si="2"/>
        <v>1050</v>
      </c>
      <c r="I9" s="112"/>
      <c r="J9" s="111">
        <v>1050</v>
      </c>
      <c r="K9" s="111"/>
      <c r="L9" s="96"/>
    </row>
    <row r="10" spans="1:12" ht="26.4">
      <c r="A10" s="118" t="s">
        <v>57</v>
      </c>
      <c r="B10" s="111">
        <v>0</v>
      </c>
      <c r="C10" s="110">
        <f t="shared" si="0"/>
        <v>0</v>
      </c>
      <c r="D10" s="112"/>
      <c r="E10" s="112">
        <v>0</v>
      </c>
      <c r="F10" s="33"/>
      <c r="G10" s="131">
        <v>0</v>
      </c>
      <c r="H10" s="91">
        <f t="shared" si="2"/>
        <v>0</v>
      </c>
      <c r="I10" s="112"/>
      <c r="J10" s="111"/>
      <c r="K10" s="111"/>
      <c r="L10" s="96"/>
    </row>
    <row r="11" spans="1:12" ht="15.6">
      <c r="A11" s="118" t="s">
        <v>65</v>
      </c>
      <c r="B11" s="111">
        <v>798743</v>
      </c>
      <c r="C11" s="110">
        <f t="shared" si="0"/>
        <v>599880</v>
      </c>
      <c r="D11" s="112">
        <v>599880</v>
      </c>
      <c r="E11" s="112">
        <v>0</v>
      </c>
      <c r="F11" s="33">
        <f t="shared" si="1"/>
        <v>1.3315046342601853</v>
      </c>
      <c r="G11" s="131">
        <v>798743</v>
      </c>
      <c r="H11" s="91">
        <f t="shared" si="2"/>
        <v>602148</v>
      </c>
      <c r="I11" s="112"/>
      <c r="J11" s="111">
        <v>322148</v>
      </c>
      <c r="K11" s="111">
        <v>280000</v>
      </c>
      <c r="L11" s="96">
        <f t="shared" si="3"/>
        <v>0.75386951747933939</v>
      </c>
    </row>
    <row r="12" spans="1:12" s="3" customFormat="1" ht="15.6">
      <c r="A12" s="119" t="s">
        <v>19</v>
      </c>
      <c r="B12" s="116">
        <f>SUM(B3:B11)</f>
        <v>1070042</v>
      </c>
      <c r="C12" s="116">
        <f>SUM(C3:C11)</f>
        <v>2196935</v>
      </c>
      <c r="D12" s="116">
        <f>SUM(D3:D11)</f>
        <v>2196935</v>
      </c>
      <c r="E12" s="113">
        <f>SUM(E3:E11)</f>
        <v>0</v>
      </c>
      <c r="F12" s="97">
        <f>+C12/B12</f>
        <v>2.053129690236458</v>
      </c>
      <c r="G12" s="132">
        <f>SUM(G3:G11)</f>
        <v>1041591</v>
      </c>
      <c r="H12" s="113">
        <f>SUM(H3:H11)</f>
        <v>2212445</v>
      </c>
      <c r="I12" s="113">
        <f>SUM(I3:I11)</f>
        <v>0</v>
      </c>
      <c r="J12" s="113">
        <f>SUM(J3:J11)</f>
        <v>1083836</v>
      </c>
      <c r="K12" s="113">
        <f>SUM(K3:K11)</f>
        <v>1128609</v>
      </c>
      <c r="L12" s="32">
        <f>+H12/G12</f>
        <v>2.1241014947325776</v>
      </c>
    </row>
    <row r="13" spans="1:12" ht="27" thickBot="1">
      <c r="A13" s="133" t="s">
        <v>58</v>
      </c>
      <c r="B13" s="134"/>
      <c r="C13" s="135"/>
      <c r="D13" s="136"/>
      <c r="E13" s="136"/>
      <c r="F13" s="137"/>
      <c r="G13" s="138"/>
      <c r="H13" s="136">
        <f>+'Városigazgatás-Közösségszerv.'!C41</f>
        <v>-15510</v>
      </c>
      <c r="I13" s="139"/>
      <c r="J13" s="139"/>
      <c r="K13" s="139"/>
      <c r="L13" s="140"/>
    </row>
    <row r="14" spans="1:12" s="3" customFormat="1" ht="16.2" thickBot="1">
      <c r="A14" s="141" t="s">
        <v>20</v>
      </c>
      <c r="B14" s="192">
        <f>+C12</f>
        <v>2196935</v>
      </c>
      <c r="C14" s="193"/>
      <c r="D14" s="193"/>
      <c r="E14" s="193"/>
      <c r="F14" s="194"/>
      <c r="G14" s="195">
        <f>+H12+H13</f>
        <v>2196935</v>
      </c>
      <c r="H14" s="193"/>
      <c r="I14" s="193"/>
      <c r="J14" s="193"/>
      <c r="K14" s="193"/>
      <c r="L14" s="194"/>
    </row>
    <row r="15" spans="1:12" s="3" customFormat="1" ht="16.2" thickBot="1">
      <c r="A15" s="4"/>
      <c r="B15" s="4"/>
      <c r="C15" s="5"/>
      <c r="D15" s="5"/>
      <c r="E15" s="5"/>
      <c r="F15" s="98"/>
      <c r="G15" s="6"/>
      <c r="H15" s="5"/>
      <c r="I15" s="5"/>
      <c r="J15" s="5"/>
      <c r="K15" s="5"/>
      <c r="L15" s="5"/>
    </row>
    <row r="16" spans="1:12" s="7" customFormat="1" ht="15.6">
      <c r="C16" s="182">
        <f>+K17-I17</f>
        <v>0</v>
      </c>
      <c r="D16" s="184" t="s">
        <v>59</v>
      </c>
      <c r="E16" s="185"/>
      <c r="F16" s="99"/>
      <c r="G16" s="8"/>
      <c r="H16" s="9"/>
      <c r="I16" s="188" t="s">
        <v>60</v>
      </c>
      <c r="J16" s="184"/>
      <c r="K16" s="184" t="s">
        <v>61</v>
      </c>
      <c r="L16" s="185"/>
    </row>
    <row r="17" spans="3:12" s="7" customFormat="1" ht="16.2" thickBot="1">
      <c r="C17" s="183"/>
      <c r="D17" s="186"/>
      <c r="E17" s="187"/>
      <c r="F17" s="99"/>
      <c r="G17" s="8"/>
      <c r="H17" s="9"/>
      <c r="I17" s="189">
        <f>+B14+'Városigazgatás-Közösségszerv.'!C32+'Városigazgatás-Közösségszerv.'!C35+'Polgárok közvetlen szolg.'!C29</f>
        <v>3063004</v>
      </c>
      <c r="J17" s="180"/>
      <c r="K17" s="180">
        <f>+H12+'Városigazgatás-Közösségszerv.'!H35+'Városigazgatás-Közösségszerv.'!H32+'Polgárok közvetlen szolg.'!H29</f>
        <v>3063004</v>
      </c>
      <c r="L17" s="181"/>
    </row>
    <row r="18" spans="3:12" s="7" customFormat="1" ht="15.6">
      <c r="C18" s="9"/>
      <c r="F18" s="2"/>
      <c r="H18" s="9"/>
    </row>
    <row r="19" spans="3:12">
      <c r="J19" s="10"/>
    </row>
    <row r="20" spans="3:12">
      <c r="I20" s="10"/>
      <c r="J20" s="10"/>
      <c r="K20" s="10"/>
    </row>
    <row r="22" spans="3:12">
      <c r="J22" s="10"/>
    </row>
  </sheetData>
  <mergeCells count="17">
    <mergeCell ref="K17:L17"/>
    <mergeCell ref="H1:H2"/>
    <mergeCell ref="I1:K1"/>
    <mergeCell ref="L1:L2"/>
    <mergeCell ref="C16:C17"/>
    <mergeCell ref="D16:E17"/>
    <mergeCell ref="I16:J16"/>
    <mergeCell ref="K16:L16"/>
    <mergeCell ref="I17:J17"/>
    <mergeCell ref="G1:G2"/>
    <mergeCell ref="B14:F14"/>
    <mergeCell ref="G14:L14"/>
    <mergeCell ref="A1:A2"/>
    <mergeCell ref="B1:B2"/>
    <mergeCell ref="C1:C2"/>
    <mergeCell ref="D1:E1"/>
    <mergeCell ref="F1:F2"/>
  </mergeCells>
  <pageMargins left="0.70866141732283472" right="0.70866141732283472" top="0.74803149606299213" bottom="0.74803149606299213" header="0.31496062992125984" footer="0.31496062992125984"/>
  <pageSetup paperSize="9" scale="77" orientation="landscape" r:id="rId1"/>
  <headerFooter>
    <oddHeader>&amp;C&amp;"Times New Roman,Félkövér"&amp;12MARTONVÁSÁR VÁROS 2018. ÉVI KÖLTSÉGVETÉSI FELADATI(Költségek: E Ft-ban)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Polgárok közvetlen szolg.</vt:lpstr>
      <vt:lpstr>Városigazgatás-Közösségszerv.</vt:lpstr>
      <vt:lpstr>Felhalmozási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2018-01-17T07:09:55Z</dcterms:modified>
</cp:coreProperties>
</file>