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KÉPVISELŐ-TESTÜLET\2021_Képviselő testület\2021_11_30\20211130_KÉSZ_VÉGLEGES_KATA\"/>
    </mc:Choice>
  </mc:AlternateContent>
  <bookViews>
    <workbookView xWindow="0" yWindow="0" windowWidth="23040" windowHeight="9405"/>
  </bookViews>
  <sheets>
    <sheet name="Összesítő táblázat" sheetId="1" r:id="rId1"/>
    <sheet name="Részletező táblázat" sheetId="2" r:id="rId2"/>
  </sheets>
  <definedNames>
    <definedName name="_xlnm.Print_Titles" localSheetId="0">'Összesítő táblázat'!$1:$4</definedName>
    <definedName name="_xlnm.Print_Titles" localSheetId="1">'Részletező táblázat'!$1:$4</definedName>
    <definedName name="_xlnm.Print_Area" localSheetId="0">'Összesítő táblázat'!$A$1:$V$70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H57" i="1"/>
  <c r="Q63" i="1" l="1"/>
  <c r="P63" i="1"/>
  <c r="Q61" i="1"/>
  <c r="P61" i="1"/>
  <c r="Q60" i="1"/>
  <c r="P60" i="1"/>
  <c r="Q58" i="1"/>
  <c r="P58" i="1"/>
  <c r="Q56" i="1"/>
  <c r="P56" i="1"/>
  <c r="Q54" i="1"/>
  <c r="P54" i="1"/>
  <c r="I51" i="1"/>
  <c r="H51" i="1"/>
  <c r="I50" i="1"/>
  <c r="H50" i="1"/>
  <c r="D108" i="2" l="1"/>
  <c r="E108" i="2"/>
  <c r="F108" i="2"/>
  <c r="F107" i="2"/>
  <c r="G24" i="1" l="1"/>
  <c r="F101" i="2" l="1"/>
  <c r="F102" i="2"/>
  <c r="F103" i="2"/>
  <c r="F104" i="2"/>
  <c r="F105" i="2"/>
  <c r="F106" i="2"/>
  <c r="F100" i="2"/>
  <c r="H93" i="2" l="1"/>
  <c r="I93" i="2"/>
  <c r="J93" i="2"/>
  <c r="K93" i="2"/>
  <c r="L93" i="2"/>
  <c r="M93" i="2"/>
  <c r="N93" i="2"/>
  <c r="O93" i="2"/>
  <c r="G90" i="2"/>
  <c r="G13" i="2"/>
  <c r="G12" i="1"/>
  <c r="G65" i="1"/>
  <c r="G19" i="1"/>
  <c r="G80" i="2"/>
  <c r="G64" i="1"/>
  <c r="G65" i="2"/>
  <c r="G49" i="1"/>
  <c r="G50" i="2"/>
  <c r="G36" i="1"/>
  <c r="G41" i="2"/>
  <c r="G30" i="1"/>
  <c r="G33" i="2"/>
  <c r="G28" i="1"/>
  <c r="G31" i="1" s="1"/>
  <c r="G25" i="2"/>
  <c r="G22" i="1"/>
  <c r="M23" i="2"/>
  <c r="O20" i="1"/>
  <c r="H14" i="2"/>
  <c r="K7" i="1"/>
  <c r="J7" i="2"/>
  <c r="J38" i="1"/>
  <c r="G27" i="2"/>
  <c r="G42" i="2" l="1"/>
  <c r="I19" i="1"/>
  <c r="I13" i="1" l="1"/>
  <c r="I17" i="1" s="1"/>
  <c r="H13" i="1"/>
  <c r="J12" i="1" l="1"/>
  <c r="J17" i="1" s="1"/>
  <c r="H49" i="1"/>
  <c r="I49" i="1"/>
  <c r="H64" i="1" l="1"/>
  <c r="N7" i="1" l="1"/>
  <c r="N17" i="1" s="1"/>
  <c r="J65" i="1" l="1"/>
  <c r="O59" i="2" l="1"/>
  <c r="H24" i="1"/>
  <c r="I24" i="1"/>
  <c r="H33" i="2"/>
  <c r="H42" i="2" s="1"/>
  <c r="L18" i="2"/>
  <c r="K18" i="2"/>
  <c r="H18" i="2"/>
  <c r="I18" i="2"/>
  <c r="O69" i="1" l="1"/>
  <c r="P69" i="1"/>
  <c r="Q69" i="1"/>
  <c r="R69" i="1"/>
  <c r="L69" i="1"/>
  <c r="M69" i="1"/>
  <c r="K69" i="1"/>
  <c r="I69" i="1"/>
  <c r="G69" i="1"/>
  <c r="B69" i="1" l="1"/>
  <c r="J49" i="1"/>
  <c r="J36" i="1"/>
  <c r="N23" i="1"/>
  <c r="N69" i="1" s="1"/>
  <c r="J22" i="1"/>
  <c r="J21" i="1"/>
  <c r="R20" i="1"/>
  <c r="R31" i="1" s="1"/>
  <c r="J19" i="1"/>
  <c r="J8" i="1"/>
  <c r="G43" i="1" l="1"/>
  <c r="I28" i="1" l="1"/>
  <c r="H28" i="1"/>
  <c r="I30" i="1"/>
  <c r="H30" i="1"/>
  <c r="J30" i="1" s="1"/>
  <c r="I42" i="2"/>
  <c r="Q35" i="1"/>
  <c r="J28" i="1" l="1"/>
  <c r="J64" i="1"/>
  <c r="G67" i="1" l="1"/>
  <c r="I67" i="1"/>
  <c r="I21" i="1" l="1"/>
  <c r="I22" i="1" l="1"/>
  <c r="Q20" i="1" l="1"/>
  <c r="H66" i="1" l="1"/>
  <c r="J66" i="1" s="1"/>
  <c r="P59" i="1"/>
  <c r="R59" i="1" s="1"/>
  <c r="R60" i="1"/>
  <c r="R61" i="1"/>
  <c r="P62" i="1"/>
  <c r="R62" i="1" s="1"/>
  <c r="R63" i="1"/>
  <c r="R58" i="1"/>
  <c r="J57" i="1"/>
  <c r="R56" i="1"/>
  <c r="H55" i="1"/>
  <c r="J55" i="1" s="1"/>
  <c r="R54" i="1"/>
  <c r="J51" i="1"/>
  <c r="H52" i="1"/>
  <c r="J52" i="1" s="1"/>
  <c r="H53" i="1"/>
  <c r="J53" i="1" s="1"/>
  <c r="J50" i="1"/>
  <c r="H47" i="1"/>
  <c r="J47" i="1" s="1"/>
  <c r="H48" i="1"/>
  <c r="J48" i="1" s="1"/>
  <c r="H46" i="1"/>
  <c r="H40" i="1"/>
  <c r="J40" i="1" s="1"/>
  <c r="H41" i="1"/>
  <c r="J41" i="1" s="1"/>
  <c r="H42" i="1"/>
  <c r="J42" i="1" s="1"/>
  <c r="H39" i="1"/>
  <c r="J39" i="1" s="1"/>
  <c r="H34" i="1"/>
  <c r="J34" i="1" s="1"/>
  <c r="H29" i="1"/>
  <c r="H25" i="1"/>
  <c r="J25" i="1" s="1"/>
  <c r="H26" i="1"/>
  <c r="J26" i="1" s="1"/>
  <c r="H27" i="1"/>
  <c r="H11" i="1"/>
  <c r="J11" i="1" s="1"/>
  <c r="H15" i="1"/>
  <c r="J15" i="1" s="1"/>
  <c r="H10" i="1"/>
  <c r="J10" i="1" s="1"/>
  <c r="H9" i="1"/>
  <c r="P35" i="1"/>
  <c r="R43" i="1" s="1"/>
  <c r="J29" i="1" l="1"/>
  <c r="H31" i="1"/>
  <c r="J9" i="1"/>
  <c r="H17" i="1"/>
  <c r="J27" i="1"/>
  <c r="J69" i="1" s="1"/>
  <c r="H69" i="1"/>
  <c r="R67" i="1"/>
  <c r="J24" i="1"/>
  <c r="J46" i="1"/>
  <c r="J67" i="1" s="1"/>
  <c r="H67" i="1"/>
  <c r="J31" i="1" l="1"/>
  <c r="I31" i="1"/>
  <c r="I44" i="2" l="1"/>
  <c r="H44" i="2"/>
  <c r="H33" i="1" l="1"/>
  <c r="H59" i="2"/>
  <c r="H94" i="2" s="1"/>
  <c r="I33" i="1"/>
  <c r="I59" i="2"/>
  <c r="I94" i="2" s="1"/>
  <c r="J33" i="1"/>
  <c r="J43" i="1" s="1"/>
  <c r="J68" i="1" s="1"/>
  <c r="H43" i="1"/>
  <c r="J42" i="2"/>
  <c r="K42" i="2"/>
  <c r="K94" i="2" s="1"/>
  <c r="L42" i="2"/>
  <c r="L94" i="2" s="1"/>
  <c r="M42" i="2"/>
  <c r="N42" i="2"/>
  <c r="N94" i="2" s="1"/>
  <c r="O42" i="2"/>
  <c r="O94" i="2" s="1"/>
  <c r="K67" i="1" l="1"/>
  <c r="L67" i="1"/>
  <c r="M67" i="1"/>
  <c r="O67" i="1"/>
  <c r="P67" i="1"/>
  <c r="Q67" i="1"/>
  <c r="K43" i="1"/>
  <c r="L43" i="1"/>
  <c r="M43" i="1"/>
  <c r="O43" i="1"/>
  <c r="P43" i="1"/>
  <c r="Q43" i="1"/>
  <c r="I43" i="1"/>
  <c r="M31" i="1"/>
  <c r="O31" i="1"/>
  <c r="P31" i="1"/>
  <c r="Q31" i="1"/>
  <c r="P17" i="1"/>
  <c r="Q17" i="1"/>
  <c r="O17" i="1"/>
  <c r="L17" i="1"/>
  <c r="M17" i="1"/>
  <c r="K17" i="1"/>
  <c r="G17" i="1"/>
  <c r="G68" i="1" s="1"/>
  <c r="R17" i="1" l="1"/>
  <c r="R68" i="1" s="1"/>
  <c r="N31" i="1"/>
  <c r="I68" i="1"/>
  <c r="K68" i="1"/>
  <c r="N43" i="1"/>
  <c r="N67" i="1"/>
  <c r="L68" i="1"/>
  <c r="M68" i="1"/>
  <c r="O68" i="1"/>
  <c r="Q68" i="1"/>
  <c r="P68" i="1"/>
  <c r="H68" i="1"/>
  <c r="B68" i="1" l="1"/>
  <c r="N68" i="1"/>
  <c r="B70" i="1" s="1"/>
  <c r="G93" i="2"/>
  <c r="M59" i="2"/>
  <c r="G59" i="2"/>
  <c r="M18" i="2"/>
  <c r="J18" i="2"/>
  <c r="J94" i="2" s="1"/>
  <c r="G18" i="2"/>
  <c r="G94" i="2" l="1"/>
  <c r="B94" i="2" s="1"/>
  <c r="M94" i="2"/>
</calcChain>
</file>

<file path=xl/comments1.xml><?xml version="1.0" encoding="utf-8"?>
<comments xmlns="http://schemas.openxmlformats.org/spreadsheetml/2006/main">
  <authors>
    <author>Felhasználó</author>
  </authors>
  <commentList>
    <comment ref="R35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Még fel lesz használva
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H6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eltérés - 595 274
</t>
        </r>
      </text>
    </comment>
    <comment ref="H6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eltérés: + 531 949
</t>
        </r>
      </text>
    </comment>
    <comment ref="N70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eltérés: + 146 893</t>
        </r>
      </text>
    </comment>
    <comment ref="N72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eltérés: +745 528</t>
        </r>
      </text>
    </comment>
    <comment ref="N74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eltérés: + 556 380</t>
        </r>
      </text>
    </comment>
    <comment ref="N76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eltérés: - 4 800</t>
        </r>
      </text>
    </comment>
    <comment ref="N77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eltérés: - 552 970</t>
        </r>
      </text>
    </comment>
    <comment ref="N79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eltérés + 185 700</t>
        </r>
      </text>
    </comment>
  </commentList>
</comments>
</file>

<file path=xl/sharedStrings.xml><?xml version="1.0" encoding="utf-8"?>
<sst xmlns="http://schemas.openxmlformats.org/spreadsheetml/2006/main" count="568" uniqueCount="248">
  <si>
    <t>Költséghely</t>
  </si>
  <si>
    <t>Feladat rövid leírása</t>
  </si>
  <si>
    <t>Összesen</t>
  </si>
  <si>
    <t>MINDÖSSZESEN</t>
  </si>
  <si>
    <t>Beruh.</t>
  </si>
  <si>
    <t>Felúj.</t>
  </si>
  <si>
    <t>Karb.</t>
  </si>
  <si>
    <t>x</t>
  </si>
  <si>
    <t>Ingatlan, helyiség megnevezése, címe</t>
  </si>
  <si>
    <t>temető</t>
  </si>
  <si>
    <t>X</t>
  </si>
  <si>
    <t>becsült</t>
  </si>
  <si>
    <t>vezető</t>
  </si>
  <si>
    <t>VM</t>
  </si>
  <si>
    <t>PÜ</t>
  </si>
  <si>
    <t>Finanszí- rozás</t>
  </si>
  <si>
    <t>BM TÁMOGATÁS</t>
  </si>
  <si>
    <t>Horváth István</t>
  </si>
  <si>
    <t>Dr. Bögi Viktória</t>
  </si>
  <si>
    <t>FEJLESZTÉSEK SAJÁT FORRÁSBÓL</t>
  </si>
  <si>
    <t>Okoszebra az Óvodamúzeumhoz</t>
  </si>
  <si>
    <t>Óvoda lapostető szigetelés</t>
  </si>
  <si>
    <t>BERUHÁZÁS-ELŐKÉSZÍTÉS, TELEPÜLÉSRENDEZÉS, INGATLANFEJLESZTÉS-RENDEZÉS</t>
  </si>
  <si>
    <t>MVK NKFT. ÖNKORMÁNYZATI PROJEKTEK 1.</t>
  </si>
  <si>
    <t>Forrás: Beruházási, fejlesztési tartalék. Az ide tartozó tételek tekintetében a Kft a vásárolt áruk és szolgáltatások +10% költség igénybevételére jogosult, a tételek munkadíjat nem tartalmazhatnak! A munkaköltséget az önkormányzat külön finanszírozza a bértömeg részeként!</t>
  </si>
  <si>
    <t>Vízóraakna Bölcsöde</t>
  </si>
  <si>
    <t>számlás</t>
  </si>
  <si>
    <t>Tóth Balázs</t>
  </si>
  <si>
    <t>Árambekötés Bölcsöde</t>
  </si>
  <si>
    <t>Árambekötés Új Tűzoltószertár</t>
  </si>
  <si>
    <t>MartonGazda irodabútor</t>
  </si>
  <si>
    <t>átadott pe</t>
  </si>
  <si>
    <t>MartonGazda Csarnok bebútorozás, felszerelés</t>
  </si>
  <si>
    <t>Mentőállomás kerítés</t>
  </si>
  <si>
    <t>Fehérvári út járda karbantartás</t>
  </si>
  <si>
    <t>Óvoda udvar vízelvezetés</t>
  </si>
  <si>
    <t>BBK és Óvodamúzeum faszerkezet festés</t>
  </si>
  <si>
    <t>Utcabútor kihelyezések egységár alapján</t>
  </si>
  <si>
    <t>Polgármesteri Hivatal - Geróts-terem, iroda karbantartás</t>
  </si>
  <si>
    <t>Növénytelepítés: Szent László úton a járási hivatal és a sportcsarnok előtt</t>
  </si>
  <si>
    <t>Növénytelepítés: Szent László út Szoc. Központ és a Jókai utca között</t>
  </si>
  <si>
    <t>Növénytelepítés: Brunszvik úti parkoló melletti sáv</t>
  </si>
  <si>
    <t>Növénytelepítés: Budai úton a mentőállomás előtti terület</t>
  </si>
  <si>
    <t>Diszvilágítás: Műemlék óvoda</t>
  </si>
  <si>
    <t>Diszvilágítás: Viadukt</t>
  </si>
  <si>
    <t>Könyvtár villamos leválasztás</t>
  </si>
  <si>
    <t>Könyvtár hőmennyiség mérés</t>
  </si>
  <si>
    <t>Ingatlanvásárlás Magtár melletti útterület</t>
  </si>
  <si>
    <t>Vásártér hulladék és föld elszállítás</t>
  </si>
  <si>
    <t>Dr. Szabó Tibor, Dr. Bögi Viktória</t>
  </si>
  <si>
    <t>Gucsek István, Miklósné Pető Rita</t>
  </si>
  <si>
    <t>Csuhai Felicián</t>
  </si>
  <si>
    <t>Földváry Katalin</t>
  </si>
  <si>
    <t>Horváth Bálint</t>
  </si>
  <si>
    <t>Iskola / Művészeti Iskola - Vázlatterv-tanulmányterv</t>
  </si>
  <si>
    <t>Temetőfejlesztés koncepcióterv</t>
  </si>
  <si>
    <t>Erdőhát régi szennyvízhálózat megszűntetésének tervezése, engedélyezése</t>
  </si>
  <si>
    <t xml:space="preserve">Gucsek István </t>
  </si>
  <si>
    <t>Sebők Anikó</t>
  </si>
  <si>
    <t>Piaci asztalok beszerzése</t>
  </si>
  <si>
    <t>Sebők Anikó, Bocsi Andrea</t>
  </si>
  <si>
    <t>Járdaépítés: Hunyadi út felső oldal</t>
  </si>
  <si>
    <t>Kovács Lajos</t>
  </si>
  <si>
    <t>Czipa-Kiss Vivien</t>
  </si>
  <si>
    <t>TOP Bölcsöde</t>
  </si>
  <si>
    <t>eredetileg tervezett saját forrás</t>
  </si>
  <si>
    <t>várható többlet saját forrás</t>
  </si>
  <si>
    <t>várható többlet kiadás, ami megigényelhető</t>
  </si>
  <si>
    <t>LEADER PÁLYÁZATOK</t>
  </si>
  <si>
    <t>önrész</t>
  </si>
  <si>
    <t>többlet forrásigénye</t>
  </si>
  <si>
    <t>Bölcsöde</t>
  </si>
  <si>
    <t>Tompai Judit, Palotai Noémi</t>
  </si>
  <si>
    <t>Jegyző és a polgármester által kijelölt felelősök</t>
  </si>
  <si>
    <t xml:space="preserve"> ÉPÜLETEK ÉS ÉPÍTMÉNYEK BERUHÁZÁSI, FELÚJÍTÁSI, KARBANTARTÁSI ÉS TÁRGYI ESZKÖZ BESZERZÉSI KONCEPCIÓJA, 2021-2022. (2023.) évekre.                                                                                               </t>
  </si>
  <si>
    <t xml:space="preserve">Előzetes kötelezettség vállalalás a 2021. évi fejlesztési célú tartalékok terhére  </t>
  </si>
  <si>
    <t xml:space="preserve"> PÁLYÁZATOK ÖNRÉSZ ÉS SAJÁT FORRÁS IGÉNYE 
(egyedi képviselő-testületi döntéseknek megfelelően)</t>
  </si>
  <si>
    <t xml:space="preserve">Kossuth tér légkábel kiváltás </t>
  </si>
  <si>
    <t>előző sor megtérülése (Kistérségi költségvetésből)</t>
  </si>
  <si>
    <t>Útfelújítás: Jókai M. utca -Deák F. utca</t>
  </si>
  <si>
    <t xml:space="preserve">Járdaépítés Budai és Fehérvári úton (Rákóczi u. -Szt László patak között) önrész + saját forrás </t>
  </si>
  <si>
    <t>Járdaépítés: Budai út páros oldal (Rákóczi u.-vízfolyás között)</t>
  </si>
  <si>
    <t>Ingatlanvásárlások (Orgona 16. x2)</t>
  </si>
  <si>
    <t xml:space="preserve">HÉSZ tárgyalásos módosítása </t>
  </si>
  <si>
    <t>előző sor megtérülése (partnerekkel fizetendő)</t>
  </si>
  <si>
    <t>HÉSZ átfogó módosítására szerződés</t>
  </si>
  <si>
    <t>Légkábel kiváltás megtervezése Deák F. utcában (Széchenyi u.-Budai út között)</t>
  </si>
  <si>
    <t>Vásártér kerítés</t>
  </si>
  <si>
    <t>Fehérvári út karbantartás (Tükrösi u.-Határ u. között)</t>
  </si>
  <si>
    <t>előző sor megtérülése (pályázat)</t>
  </si>
  <si>
    <t>Óvodai ablakok árnyékolása</t>
  </si>
  <si>
    <t>Horváth István, Molnár Balázs</t>
  </si>
  <si>
    <t>Czipa-Kiss Vivien,+ ovivez.</t>
  </si>
  <si>
    <r>
      <t xml:space="preserve">Tűzoltó szertár I. ütem (a kistérségi költségvetésből további 10M Ft) </t>
    </r>
    <r>
      <rPr>
        <b/>
        <i/>
        <sz val="11"/>
        <color theme="1"/>
        <rFont val="Calibri"/>
        <family val="2"/>
        <charset val="238"/>
        <scheme val="minor"/>
      </rPr>
      <t>(tervező: Somogyi G.)</t>
    </r>
  </si>
  <si>
    <r>
      <t xml:space="preserve">Szennyvíztisztító 2021. évi GFT-s beruházás </t>
    </r>
    <r>
      <rPr>
        <b/>
        <i/>
        <sz val="11"/>
        <color theme="1"/>
        <rFont val="Calibri"/>
        <family val="2"/>
        <charset val="238"/>
        <scheme val="minor"/>
      </rPr>
      <t>(csatorna tart.)</t>
    </r>
  </si>
  <si>
    <t>Cs. Feli</t>
  </si>
  <si>
    <t>H.I</t>
  </si>
  <si>
    <t>Anikó</t>
  </si>
  <si>
    <t>C. vivi</t>
  </si>
  <si>
    <t>Vivien</t>
  </si>
  <si>
    <t xml:space="preserve">Beruházás  költsége    </t>
  </si>
  <si>
    <t xml:space="preserve">Felújítás  költsége      </t>
  </si>
  <si>
    <t>Karbantartás költsége</t>
  </si>
  <si>
    <t>Megrendelő/Szerződés száma</t>
  </si>
  <si>
    <t>teljesített</t>
  </si>
  <si>
    <t>Gucsek István</t>
  </si>
  <si>
    <t>maradvány</t>
  </si>
  <si>
    <t>tényleges</t>
  </si>
  <si>
    <t>4200-2/2021</t>
  </si>
  <si>
    <t xml:space="preserve">Beruházás  költsége  </t>
  </si>
  <si>
    <t>Felújítás  költsége</t>
  </si>
  <si>
    <t>RHASA9776745</t>
  </si>
  <si>
    <t>TZBSA7486800</t>
  </si>
  <si>
    <t>4273-3/2021.
MV-54/2021.</t>
  </si>
  <si>
    <r>
      <t xml:space="preserve">Szennyvíztisztító 2021. évi GFT-s beruházás </t>
    </r>
    <r>
      <rPr>
        <b/>
        <i/>
        <sz val="11"/>
        <color theme="1"/>
        <rFont val="Calibri"/>
        <family val="2"/>
        <charset val="238"/>
        <scheme val="minor"/>
      </rPr>
      <t>(</t>
    </r>
    <r>
      <rPr>
        <b/>
        <i/>
        <sz val="11"/>
        <color rgb="FFFF0000"/>
        <rFont val="Calibri"/>
        <family val="2"/>
        <charset val="238"/>
        <scheme val="minor"/>
      </rPr>
      <t>csatorna tart.</t>
    </r>
    <r>
      <rPr>
        <b/>
        <i/>
        <sz val="11"/>
        <color theme="1"/>
        <rFont val="Calibri"/>
        <family val="2"/>
        <charset val="238"/>
        <scheme val="minor"/>
      </rPr>
      <t>)</t>
    </r>
  </si>
  <si>
    <t>Orgona utca 16. 4. ajtó 1244/D hrsz.</t>
  </si>
  <si>
    <t>Orgona utca 16. 5. ajtó 1244/F hrsz.</t>
  </si>
  <si>
    <t>MV-71/2021.</t>
  </si>
  <si>
    <t>MV-51/2021.</t>
  </si>
  <si>
    <t>PH/5298-12/2021.</t>
  </si>
  <si>
    <t>Számla sorszáma / Intézkedés ikt.szám</t>
  </si>
  <si>
    <t>PH/4193-12/2021.</t>
  </si>
  <si>
    <t>PH/4193-20/2021.</t>
  </si>
  <si>
    <t>Pénzügyi teljesítés dátuma</t>
  </si>
  <si>
    <t>MV-68/2021.</t>
  </si>
  <si>
    <t>TELJESÜLT</t>
  </si>
  <si>
    <t>MV-73/2021</t>
  </si>
  <si>
    <t xml:space="preserve">  </t>
  </si>
  <si>
    <r>
      <t xml:space="preserve">MartonGazda irodabútor </t>
    </r>
    <r>
      <rPr>
        <b/>
        <i/>
        <sz val="11"/>
        <color theme="1"/>
        <rFont val="Calibri"/>
        <family val="2"/>
        <charset val="238"/>
        <scheme val="minor"/>
      </rPr>
      <t>(szolg. Házba) Pannon Szíve emeleti kisiroda</t>
    </r>
  </si>
  <si>
    <t>árajánlat, beruházási alapokmány, megrendelés folyamatban</t>
  </si>
  <si>
    <t>Vásártér hulladék és föld elszállítás/temető</t>
  </si>
  <si>
    <t>7324-2/2021</t>
  </si>
  <si>
    <t>D-VSBLC-7</t>
  </si>
  <si>
    <t>2021-40</t>
  </si>
  <si>
    <t>7353-11/2021</t>
  </si>
  <si>
    <t>7419-3/2021.</t>
  </si>
  <si>
    <t>FŐSZÁMLÁRÓL</t>
  </si>
  <si>
    <t>15 db lámpa test beszerzése Széchenyi és Mirrotron</t>
  </si>
  <si>
    <t>6916-2/2021</t>
  </si>
  <si>
    <t>önk.rendeli meg, a feladatot végzi a mvk
a beszerzések együtt mennek le a két közvilágítási feladatra</t>
  </si>
  <si>
    <t>2021-83</t>
  </si>
  <si>
    <t>6844-5/2021</t>
  </si>
  <si>
    <t>RHASA9674296</t>
  </si>
  <si>
    <t>BBK Kiállítótér: világítás és biztonság</t>
  </si>
  <si>
    <t>SU01008/2021</t>
  </si>
  <si>
    <t>9 db világítási oszlop, 7+2 db lámpakar</t>
  </si>
  <si>
    <t>6916-9/2021</t>
  </si>
  <si>
    <t>Martonvásár Városi Közszolg. Kft.</t>
  </si>
  <si>
    <t>7324-12/2021</t>
  </si>
  <si>
    <t>SZA00281/2021</t>
  </si>
  <si>
    <t>Csatornatartalékból</t>
  </si>
  <si>
    <t>Szerződő fél megnevezése</t>
  </si>
  <si>
    <t>VisibleCrossing Kft.</t>
  </si>
  <si>
    <t>Szaki és Mogyoró Kft.</t>
  </si>
  <si>
    <t>7413-2/2021.</t>
  </si>
  <si>
    <t>SZAKI-2021-40</t>
  </si>
  <si>
    <t>Bús László</t>
  </si>
  <si>
    <t>6021-5/2021</t>
  </si>
  <si>
    <t>C19-2021-15</t>
  </si>
  <si>
    <t>Alarm Stúdió Kft.</t>
  </si>
  <si>
    <t>Services Unlimited Kft.</t>
  </si>
  <si>
    <t>Lupeka-Vill Kft.</t>
  </si>
  <si>
    <t>AD Unitech Bt.</t>
  </si>
  <si>
    <t>Alarm Stúdió Kft. (pótmunka)</t>
  </si>
  <si>
    <t>7353-22/2021</t>
  </si>
  <si>
    <t>2021-84</t>
  </si>
  <si>
    <t>Könyvtár hőmennyiség mérő beépítése</t>
  </si>
  <si>
    <t>Közvilágítás: Széchenyi híd, Mirrotron út</t>
  </si>
  <si>
    <t>Tető Csoport Kft.</t>
  </si>
  <si>
    <t>VölgyZugoly Műhely Kft.</t>
  </si>
  <si>
    <t>162/2021</t>
  </si>
  <si>
    <t>szerződéses összeg</t>
  </si>
  <si>
    <r>
      <t>Útfelújítás: Jókai M. utca -Deák F. utca (</t>
    </r>
    <r>
      <rPr>
        <b/>
        <sz val="11"/>
        <color rgb="FFFF0000"/>
        <rFont val="Calibri"/>
        <family val="2"/>
        <charset val="238"/>
        <scheme val="minor"/>
      </rPr>
      <t>Csatorna tartalékból</t>
    </r>
    <r>
      <rPr>
        <sz val="11"/>
        <color rgb="FFFF0000"/>
        <rFont val="Calibri"/>
        <family val="2"/>
        <charset val="238"/>
        <scheme val="minor"/>
      </rPr>
      <t>)</t>
    </r>
  </si>
  <si>
    <t>Eltérés a becsült összegtől</t>
  </si>
  <si>
    <t>MV-102/2021</t>
  </si>
  <si>
    <t>PUHI-TÁRNOK Út- és Hídépítő Kft.</t>
  </si>
  <si>
    <t>közvilágítás kábel és kiegészítők</t>
  </si>
  <si>
    <t>Partvill Kft.</t>
  </si>
  <si>
    <t>6916-16/2021</t>
  </si>
  <si>
    <t>2021/1579</t>
  </si>
  <si>
    <t>Tervezési szerződés</t>
  </si>
  <si>
    <t>Somogyi Gábor</t>
  </si>
  <si>
    <t>7581-2/2021</t>
  </si>
  <si>
    <t>Építési engedély igazgatási szolg.díja</t>
  </si>
  <si>
    <t>Fejér Megyei Katasztrófavédelmi Igazgatóság</t>
  </si>
  <si>
    <t>7581-9/2021.</t>
  </si>
  <si>
    <t>Polyduct Zrt.</t>
  </si>
  <si>
    <t>Hungaro Lux Light Kft.</t>
  </si>
  <si>
    <t>2021/00083</t>
  </si>
  <si>
    <t>Földi György</t>
  </si>
  <si>
    <t>Polikov Kft.</t>
  </si>
  <si>
    <t>MVK Kft. Munkadíj</t>
  </si>
  <si>
    <t>anyagköltség</t>
  </si>
  <si>
    <t>geodézia</t>
  </si>
  <si>
    <t>Frits János ev</t>
  </si>
  <si>
    <t>8496-2/2021</t>
  </si>
  <si>
    <t xml:space="preserve"> </t>
  </si>
  <si>
    <t>Megvilágítás mérése</t>
  </si>
  <si>
    <t>Tó-Vill Kft.</t>
  </si>
  <si>
    <t>TOV-2021-380</t>
  </si>
  <si>
    <t>TOV-2021-379</t>
  </si>
  <si>
    <t>Közvilágítás kialakításának gépi földmunkája</t>
  </si>
  <si>
    <t>GyuriVill Kft.</t>
  </si>
  <si>
    <t>6916-22/2021</t>
  </si>
  <si>
    <t>68-21/00025</t>
  </si>
  <si>
    <t>T-Lighting Kft.</t>
  </si>
  <si>
    <t>7484-1/2021</t>
  </si>
  <si>
    <t>KSZ21/0390</t>
  </si>
  <si>
    <t>TOV-2021-393</t>
  </si>
  <si>
    <t>MV-40/2021</t>
  </si>
  <si>
    <t>Főszámláról történt a kifiz
a maradvány???</t>
  </si>
  <si>
    <t>FORDÍTOTT ÁFA</t>
  </si>
  <si>
    <t>VisibleCrossing Kft.-előlegszámla</t>
  </si>
  <si>
    <t>VSBLC-2021-15</t>
  </si>
  <si>
    <r>
      <t xml:space="preserve">Járdaépítés Budai és Fehérvári úton (Rákóczi u. -Szt László patak között) önrész + </t>
    </r>
    <r>
      <rPr>
        <sz val="11"/>
        <color rgb="FFFF0000"/>
        <rFont val="Calibri"/>
        <family val="2"/>
        <charset val="238"/>
        <scheme val="minor"/>
      </rPr>
      <t>saját forrás átvezetésre került külön számlára</t>
    </r>
  </si>
  <si>
    <t>Munkaközi tervdokumentáció I. munkarész</t>
  </si>
  <si>
    <t>Feladat elvégezve</t>
  </si>
  <si>
    <t>VisibleCrossing Kft.-végszámla</t>
  </si>
  <si>
    <t>Folyamatban van a feladat teljesítése</t>
  </si>
  <si>
    <t>Lámpatestek megvásárolva</t>
  </si>
  <si>
    <t>polgármesteri döntés 2021.10.18.</t>
  </si>
  <si>
    <t>polgármesteri döntés 2021.10.18. (+10.000.000 Ft)</t>
  </si>
  <si>
    <t>polgármesteri döntés 2021.10.18. (-30.000.000 Ft)</t>
  </si>
  <si>
    <t>polgármesteri döntés 2021.10.18. (+15.730.000 Ft)</t>
  </si>
  <si>
    <t>KÖZVILÁGÍTÁS (Széchenyi híd, és Mirrotron út környezete) ÖSSZESEN:</t>
  </si>
  <si>
    <t>2021.10.18. Polgármesteri döntés miatt a becsült összegek emelése</t>
  </si>
  <si>
    <t>becsült értékek megemelésére</t>
  </si>
  <si>
    <t>Egyeztetési eljárás</t>
  </si>
  <si>
    <t>197/2021</t>
  </si>
  <si>
    <t>Folyamatban van, I.munkarész: munkaközi tervdokumentáció, Egyeztetési eljárás teljesült</t>
  </si>
  <si>
    <r>
      <t xml:space="preserve">MartonGazda irodabútor </t>
    </r>
    <r>
      <rPr>
        <sz val="11"/>
        <color rgb="FFFF0000"/>
        <rFont val="Calibri"/>
        <family val="2"/>
        <charset val="238"/>
        <scheme val="minor"/>
      </rPr>
      <t>*</t>
    </r>
  </si>
  <si>
    <r>
      <t xml:space="preserve">MartonGazda Csarnok bebútorozás, felszerelés </t>
    </r>
    <r>
      <rPr>
        <sz val="11"/>
        <color rgb="FFFF0000"/>
        <rFont val="Calibri"/>
        <family val="2"/>
        <charset val="238"/>
        <scheme val="minor"/>
      </rPr>
      <t>*</t>
    </r>
  </si>
  <si>
    <r>
      <t>Fehérvári út járda karbantartás</t>
    </r>
    <r>
      <rPr>
        <sz val="11"/>
        <color rgb="FFFF0000"/>
        <rFont val="Calibri"/>
        <family val="2"/>
        <charset val="238"/>
        <scheme val="minor"/>
      </rPr>
      <t xml:space="preserve"> *</t>
    </r>
  </si>
  <si>
    <r>
      <t>BBK és Óvodamúzeum faszerkezet festés</t>
    </r>
    <r>
      <rPr>
        <sz val="11"/>
        <color rgb="FFFF0000"/>
        <rFont val="Calibri"/>
        <family val="2"/>
        <charset val="238"/>
        <scheme val="minor"/>
      </rPr>
      <t xml:space="preserve"> *</t>
    </r>
  </si>
  <si>
    <r>
      <t>Polgármesteri Hivatal - Geróts-terem, iroda karbantartás</t>
    </r>
    <r>
      <rPr>
        <sz val="11"/>
        <color rgb="FFFF0000"/>
        <rFont val="Calibri"/>
        <family val="2"/>
        <charset val="238"/>
        <scheme val="minor"/>
      </rPr>
      <t xml:space="preserve"> *</t>
    </r>
  </si>
  <si>
    <r>
      <t xml:space="preserve">Növénytelepítés: Szent László úton a járási hivatal és a sportcsarnok előtt </t>
    </r>
    <r>
      <rPr>
        <sz val="11"/>
        <color rgb="FFFF0000"/>
        <rFont val="Calibri"/>
        <family val="2"/>
        <charset val="238"/>
        <scheme val="minor"/>
      </rPr>
      <t>*</t>
    </r>
  </si>
  <si>
    <r>
      <t xml:space="preserve">Növénytelepítés: Szent László út Szoc. Központ és a Jókai utca között </t>
    </r>
    <r>
      <rPr>
        <sz val="11"/>
        <color rgb="FFFF0000"/>
        <rFont val="Calibri"/>
        <family val="2"/>
        <charset val="238"/>
        <scheme val="minor"/>
      </rPr>
      <t>*</t>
    </r>
  </si>
  <si>
    <t>*</t>
  </si>
  <si>
    <t>Feladat megnevezése</t>
  </si>
  <si>
    <t>Becsült összeg</t>
  </si>
  <si>
    <t>Szerződéses összeg</t>
  </si>
  <si>
    <t>Maradvány</t>
  </si>
  <si>
    <r>
      <t xml:space="preserve">Tűzoltó szertár I. ütem (a kistérségi költségvetésből  további 10,564M Ft) </t>
    </r>
    <r>
      <rPr>
        <b/>
        <i/>
        <sz val="11"/>
        <color theme="1"/>
        <rFont val="Calibri"/>
        <family val="2"/>
        <charset val="238"/>
        <scheme val="minor"/>
      </rPr>
      <t>(tervező: Somogyi G.)</t>
    </r>
  </si>
  <si>
    <r>
      <t xml:space="preserve">Növénytelepítés: Budai úton a mentőállomás előtti terület </t>
    </r>
    <r>
      <rPr>
        <sz val="11"/>
        <color rgb="FFFF0000"/>
        <rFont val="Calibri"/>
        <family val="2"/>
        <charset val="238"/>
        <scheme val="minor"/>
      </rPr>
      <t>*</t>
    </r>
  </si>
  <si>
    <t>Martonvásár Városi Közszolgáltató Nkft.</t>
  </si>
  <si>
    <t>7473-3/2021</t>
  </si>
  <si>
    <t>SZA00424/2021</t>
  </si>
  <si>
    <t>Fábián Róbert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</si>
</sst>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&quot;Ft&quot;_-;\-* #,##0\ &quot;Ft&quot;_-;_-* &quot;-&quot;??\ &quot;Ft&quot;_-;_-@_-"/>
    <numFmt numFmtId="165" formatCode="_-* #,##0\ _F_t_-;\-* #,##0\ _F_t_-;_-* &quot;-&quot;??\ _F_t_-;_-@_-"/>
  </numFmts>
  <fonts count="3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0" tint="-0.499984740745262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i/>
      <u/>
      <sz val="12"/>
      <color rgb="FF003366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i/>
      <strike/>
      <sz val="11"/>
      <color theme="0" tint="-0.499984740745262"/>
      <name val="Calibri"/>
      <family val="2"/>
      <charset val="238"/>
      <scheme val="minor"/>
    </font>
    <font>
      <strike/>
      <sz val="9"/>
      <color theme="1"/>
      <name val="Calibri"/>
      <family val="2"/>
      <charset val="238"/>
      <scheme val="minor"/>
    </font>
    <font>
      <b/>
      <i/>
      <u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508">
    <xf numFmtId="0" fontId="0" fillId="0" borderId="0" xfId="0"/>
    <xf numFmtId="0" fontId="0" fillId="2" borderId="5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3" fontId="0" fillId="2" borderId="28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center" vertical="center"/>
    </xf>
    <xf numFmtId="3" fontId="0" fillId="2" borderId="24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0" fillId="2" borderId="28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wrapText="1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11" xfId="0" applyFont="1" applyFill="1" applyBorder="1" applyAlignment="1">
      <alignment horizontal="left" wrapText="1"/>
    </xf>
    <xf numFmtId="0" fontId="0" fillId="2" borderId="23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3" fontId="0" fillId="2" borderId="12" xfId="0" applyNumberFormat="1" applyFont="1" applyFill="1" applyBorder="1" applyAlignment="1">
      <alignment horizontal="center" vertical="center"/>
    </xf>
    <xf numFmtId="3" fontId="0" fillId="2" borderId="10" xfId="0" applyNumberFormat="1" applyFont="1" applyFill="1" applyBorder="1" applyAlignment="1">
      <alignment horizontal="center" vertical="center"/>
    </xf>
    <xf numFmtId="3" fontId="0" fillId="2" borderId="2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3" fontId="0" fillId="2" borderId="35" xfId="0" applyNumberFormat="1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2" borderId="31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3" fontId="0" fillId="2" borderId="13" xfId="0" applyNumberFormat="1" applyFont="1" applyFill="1" applyBorder="1" applyAlignment="1">
      <alignment horizontal="center" vertical="center"/>
    </xf>
    <xf numFmtId="3" fontId="0" fillId="2" borderId="25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top"/>
    </xf>
    <xf numFmtId="0" fontId="4" fillId="2" borderId="12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0" fillId="2" borderId="43" xfId="0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0" fillId="2" borderId="33" xfId="0" applyNumberFormat="1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right" vertical="center"/>
    </xf>
    <xf numFmtId="3" fontId="0" fillId="2" borderId="43" xfId="0" applyNumberFormat="1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164" fontId="0" fillId="2" borderId="0" xfId="0" applyNumberFormat="1" applyFont="1" applyFill="1" applyAlignment="1">
      <alignment horizontal="center" vertical="center"/>
    </xf>
    <xf numFmtId="3" fontId="0" fillId="2" borderId="38" xfId="0" applyNumberFormat="1" applyFont="1" applyFill="1" applyBorder="1" applyAlignment="1">
      <alignment horizontal="center" vertical="center"/>
    </xf>
    <xf numFmtId="3" fontId="6" fillId="2" borderId="53" xfId="0" applyNumberFormat="1" applyFont="1" applyFill="1" applyBorder="1" applyAlignment="1">
      <alignment horizontal="center" vertical="center"/>
    </xf>
    <xf numFmtId="3" fontId="0" fillId="2" borderId="55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3" fontId="6" fillId="2" borderId="38" xfId="0" applyNumberFormat="1" applyFont="1" applyFill="1" applyBorder="1" applyAlignment="1">
      <alignment horizontal="center" vertical="center"/>
    </xf>
    <xf numFmtId="3" fontId="0" fillId="2" borderId="14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3" fontId="0" fillId="2" borderId="53" xfId="0" applyNumberFormat="1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3" fontId="4" fillId="2" borderId="53" xfId="0" applyNumberFormat="1" applyFont="1" applyFill="1" applyBorder="1" applyAlignment="1">
      <alignment horizontal="center" vertical="center" wrapText="1"/>
    </xf>
    <xf numFmtId="3" fontId="4" fillId="2" borderId="54" xfId="0" applyNumberFormat="1" applyFont="1" applyFill="1" applyBorder="1" applyAlignment="1">
      <alignment horizontal="center" vertical="center" wrapText="1"/>
    </xf>
    <xf numFmtId="3" fontId="4" fillId="2" borderId="55" xfId="0" applyNumberFormat="1" applyFont="1" applyFill="1" applyBorder="1" applyAlignment="1">
      <alignment horizontal="center" vertical="center" wrapText="1"/>
    </xf>
    <xf numFmtId="3" fontId="4" fillId="2" borderId="56" xfId="0" applyNumberFormat="1" applyFont="1" applyFill="1" applyBorder="1" applyAlignment="1">
      <alignment horizontal="center" vertical="center" wrapText="1"/>
    </xf>
    <xf numFmtId="3" fontId="6" fillId="2" borderId="53" xfId="0" applyNumberFormat="1" applyFont="1" applyFill="1" applyBorder="1" applyAlignment="1">
      <alignment horizontal="center" vertical="center" wrapText="1"/>
    </xf>
    <xf numFmtId="3" fontId="0" fillId="2" borderId="55" xfId="0" applyNumberFormat="1" applyFont="1" applyFill="1" applyBorder="1" applyAlignment="1">
      <alignment horizontal="center" vertical="center" wrapText="1"/>
    </xf>
    <xf numFmtId="3" fontId="0" fillId="2" borderId="56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/>
    </xf>
    <xf numFmtId="3" fontId="6" fillId="2" borderId="33" xfId="0" applyNumberFormat="1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0" fillId="2" borderId="3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left" wrapText="1"/>
    </xf>
    <xf numFmtId="0" fontId="6" fillId="2" borderId="33" xfId="0" applyFont="1" applyFill="1" applyBorder="1" applyAlignment="1">
      <alignment horizontal="center" vertical="center" wrapText="1"/>
    </xf>
    <xf numFmtId="3" fontId="7" fillId="2" borderId="33" xfId="0" applyNumberFormat="1" applyFont="1" applyFill="1" applyBorder="1" applyAlignment="1">
      <alignment horizontal="center" vertical="center" wrapText="1"/>
    </xf>
    <xf numFmtId="164" fontId="0" fillId="2" borderId="33" xfId="1" applyNumberFormat="1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3" fontId="16" fillId="0" borderId="1" xfId="0" applyNumberFormat="1" applyFont="1" applyFill="1" applyBorder="1" applyAlignment="1">
      <alignment horizontal="center" vertical="center"/>
    </xf>
    <xf numFmtId="3" fontId="16" fillId="0" borderId="5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vertical="center"/>
    </xf>
    <xf numFmtId="0" fontId="0" fillId="2" borderId="53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left" wrapText="1"/>
    </xf>
    <xf numFmtId="0" fontId="0" fillId="2" borderId="33" xfId="0" applyFont="1" applyFill="1" applyBorder="1" applyAlignment="1">
      <alignment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right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" fontId="0" fillId="0" borderId="5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left" wrapText="1"/>
    </xf>
    <xf numFmtId="0" fontId="0" fillId="2" borderId="0" xfId="0" applyFont="1" applyFill="1" applyAlignment="1">
      <alignment horizontal="righ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4" fillId="0" borderId="5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165" fontId="0" fillId="2" borderId="0" xfId="2" applyNumberFormat="1" applyFont="1" applyFill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right" wrapText="1"/>
    </xf>
    <xf numFmtId="0" fontId="3" fillId="2" borderId="49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3" fontId="3" fillId="2" borderId="41" xfId="0" applyNumberFormat="1" applyFont="1" applyFill="1" applyBorder="1" applyAlignment="1">
      <alignment horizontal="center" vertical="center"/>
    </xf>
    <xf numFmtId="3" fontId="3" fillId="2" borderId="50" xfId="0" applyNumberFormat="1" applyFont="1" applyFill="1" applyBorder="1" applyAlignment="1">
      <alignment horizontal="center" vertical="center"/>
    </xf>
    <xf numFmtId="3" fontId="3" fillId="2" borderId="48" xfId="0" applyNumberFormat="1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0" fontId="0" fillId="2" borderId="62" xfId="0" applyFont="1" applyFill="1" applyBorder="1" applyAlignment="1">
      <alignment horizontal="center" vertical="center"/>
    </xf>
    <xf numFmtId="0" fontId="18" fillId="2" borderId="42" xfId="0" applyFont="1" applyFill="1" applyBorder="1" applyAlignment="1">
      <alignment horizontal="right" wrapText="1"/>
    </xf>
    <xf numFmtId="0" fontId="18" fillId="2" borderId="49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3" fontId="18" fillId="2" borderId="41" xfId="0" applyNumberFormat="1" applyFont="1" applyFill="1" applyBorder="1" applyAlignment="1">
      <alignment horizontal="center" vertical="center"/>
    </xf>
    <xf numFmtId="0" fontId="3" fillId="2" borderId="63" xfId="0" applyFont="1" applyFill="1" applyBorder="1" applyAlignment="1">
      <alignment horizontal="center" vertical="center"/>
    </xf>
    <xf numFmtId="14" fontId="0" fillId="2" borderId="56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4" fontId="0" fillId="2" borderId="60" xfId="0" applyNumberFormat="1" applyFont="1" applyFill="1" applyBorder="1" applyAlignment="1">
      <alignment horizontal="center" vertical="center"/>
    </xf>
    <xf numFmtId="0" fontId="3" fillId="2" borderId="64" xfId="0" applyFont="1" applyFill="1" applyBorder="1" applyAlignment="1">
      <alignment horizontal="center" vertical="center"/>
    </xf>
    <xf numFmtId="14" fontId="0" fillId="2" borderId="54" xfId="0" applyNumberFormat="1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3" fontId="3" fillId="2" borderId="15" xfId="0" applyNumberFormat="1" applyFont="1" applyFill="1" applyBorder="1" applyAlignment="1">
      <alignment horizontal="center" vertical="center"/>
    </xf>
    <xf numFmtId="3" fontId="3" fillId="2" borderId="12" xfId="0" applyNumberFormat="1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wrapText="1"/>
    </xf>
    <xf numFmtId="0" fontId="16" fillId="2" borderId="24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3" fontId="11" fillId="3" borderId="5" xfId="0" applyNumberFormat="1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center" vertical="center"/>
    </xf>
    <xf numFmtId="3" fontId="11" fillId="3" borderId="28" xfId="0" applyNumberFormat="1" applyFont="1" applyFill="1" applyBorder="1" applyAlignment="1">
      <alignment horizontal="center" vertical="center"/>
    </xf>
    <xf numFmtId="3" fontId="0" fillId="3" borderId="10" xfId="0" applyNumberFormat="1" applyFont="1" applyFill="1" applyBorder="1" applyAlignment="1">
      <alignment horizontal="center" vertical="center"/>
    </xf>
    <xf numFmtId="3" fontId="0" fillId="3" borderId="23" xfId="0" applyNumberFormat="1" applyFont="1" applyFill="1" applyBorder="1" applyAlignment="1">
      <alignment horizontal="center" vertical="center"/>
    </xf>
    <xf numFmtId="3" fontId="0" fillId="3" borderId="11" xfId="0" applyNumberFormat="1" applyFont="1" applyFill="1" applyBorder="1" applyAlignment="1">
      <alignment horizontal="center" vertical="center"/>
    </xf>
    <xf numFmtId="3" fontId="0" fillId="3" borderId="6" xfId="0" applyNumberFormat="1" applyFont="1" applyFill="1" applyBorder="1" applyAlignment="1">
      <alignment horizontal="center" vertical="center"/>
    </xf>
    <xf numFmtId="3" fontId="0" fillId="3" borderId="27" xfId="0" applyNumberFormat="1" applyFont="1" applyFill="1" applyBorder="1" applyAlignment="1">
      <alignment horizontal="center" vertical="center"/>
    </xf>
    <xf numFmtId="3" fontId="0" fillId="3" borderId="54" xfId="0" applyNumberFormat="1" applyFont="1" applyFill="1" applyBorder="1" applyAlignment="1">
      <alignment horizontal="center" vertical="center"/>
    </xf>
    <xf numFmtId="3" fontId="0" fillId="3" borderId="28" xfId="0" applyNumberFormat="1" applyFont="1" applyFill="1" applyBorder="1" applyAlignment="1">
      <alignment horizontal="center" vertical="center"/>
    </xf>
    <xf numFmtId="3" fontId="0" fillId="3" borderId="24" xfId="0" applyNumberFormat="1" applyFont="1" applyFill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3" fontId="0" fillId="3" borderId="29" xfId="0" applyNumberFormat="1" applyFont="1" applyFill="1" applyBorder="1" applyAlignment="1">
      <alignment horizontal="center" vertical="center"/>
    </xf>
    <xf numFmtId="3" fontId="0" fillId="3" borderId="25" xfId="0" applyNumberFormat="1" applyFont="1" applyFill="1" applyBorder="1" applyAlignment="1">
      <alignment horizontal="center" vertical="center"/>
    </xf>
    <xf numFmtId="3" fontId="0" fillId="3" borderId="14" xfId="0" applyNumberFormat="1" applyFont="1" applyFill="1" applyBorder="1" applyAlignment="1">
      <alignment horizontal="center" vertical="center"/>
    </xf>
    <xf numFmtId="3" fontId="0" fillId="3" borderId="9" xfId="0" applyNumberFormat="1" applyFont="1" applyFill="1" applyBorder="1" applyAlignment="1">
      <alignment horizontal="center" vertical="center"/>
    </xf>
    <xf numFmtId="3" fontId="0" fillId="3" borderId="5" xfId="0" applyNumberFormat="1" applyFont="1" applyFill="1" applyBorder="1" applyAlignment="1">
      <alignment horizontal="center" vertical="center"/>
    </xf>
    <xf numFmtId="3" fontId="0" fillId="3" borderId="50" xfId="0" applyNumberFormat="1" applyFont="1" applyFill="1" applyBorder="1" applyAlignment="1">
      <alignment horizontal="center" vertical="center"/>
    </xf>
    <xf numFmtId="3" fontId="0" fillId="3" borderId="60" xfId="0" applyNumberFormat="1" applyFont="1" applyFill="1" applyBorder="1" applyAlignment="1">
      <alignment horizontal="center" vertical="center"/>
    </xf>
    <xf numFmtId="3" fontId="0" fillId="3" borderId="55" xfId="0" applyNumberFormat="1" applyFont="1" applyFill="1" applyBorder="1" applyAlignment="1">
      <alignment horizontal="center" vertical="center"/>
    </xf>
    <xf numFmtId="3" fontId="0" fillId="3" borderId="22" xfId="0" applyNumberFormat="1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3" fontId="0" fillId="3" borderId="3" xfId="0" applyNumberFormat="1" applyFont="1" applyFill="1" applyBorder="1" applyAlignment="1">
      <alignment horizontal="center" vertical="center"/>
    </xf>
    <xf numFmtId="3" fontId="0" fillId="3" borderId="4" xfId="0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16" fillId="3" borderId="6" xfId="0" applyNumberFormat="1" applyFont="1" applyFill="1" applyBorder="1" applyAlignment="1">
      <alignment horizontal="center" vertical="center"/>
    </xf>
    <xf numFmtId="3" fontId="0" fillId="3" borderId="7" xfId="0" applyNumberFormat="1" applyFont="1" applyFill="1" applyBorder="1" applyAlignment="1">
      <alignment horizontal="center" vertical="center"/>
    </xf>
    <xf numFmtId="3" fontId="0" fillId="3" borderId="8" xfId="0" applyNumberFormat="1" applyFont="1" applyFill="1" applyBorder="1" applyAlignment="1">
      <alignment horizontal="center" vertical="center"/>
    </xf>
    <xf numFmtId="3" fontId="3" fillId="3" borderId="48" xfId="0" applyNumberFormat="1" applyFont="1" applyFill="1" applyBorder="1" applyAlignment="1">
      <alignment horizontal="center" vertical="center"/>
    </xf>
    <xf numFmtId="3" fontId="3" fillId="3" borderId="49" xfId="0" applyNumberFormat="1" applyFont="1" applyFill="1" applyBorder="1" applyAlignment="1">
      <alignment horizontal="center" vertical="center"/>
    </xf>
    <xf numFmtId="3" fontId="3" fillId="3" borderId="50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3" fillId="3" borderId="42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0" fontId="0" fillId="4" borderId="53" xfId="0" applyFont="1" applyFill="1" applyBorder="1" applyAlignment="1">
      <alignment vertical="center"/>
    </xf>
    <xf numFmtId="3" fontId="1" fillId="4" borderId="53" xfId="0" applyNumberFormat="1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37" xfId="0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4" xfId="0" applyNumberFormat="1" applyFont="1" applyFill="1" applyBorder="1" applyAlignment="1">
      <alignment horizontal="center" vertical="center"/>
    </xf>
    <xf numFmtId="0" fontId="0" fillId="4" borderId="31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3" fontId="5" fillId="4" borderId="53" xfId="0" applyNumberFormat="1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3" fontId="5" fillId="4" borderId="33" xfId="0" applyNumberFormat="1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0" fillId="4" borderId="3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3" fontId="16" fillId="3" borderId="28" xfId="0" applyNumberFormat="1" applyFont="1" applyFill="1" applyBorder="1" applyAlignment="1">
      <alignment horizontal="center" vertical="center"/>
    </xf>
    <xf numFmtId="3" fontId="16" fillId="3" borderId="24" xfId="0" applyNumberFormat="1" applyFont="1" applyFill="1" applyBorder="1" applyAlignment="1">
      <alignment horizontal="center" vertical="center"/>
    </xf>
    <xf numFmtId="3" fontId="16" fillId="3" borderId="54" xfId="0" applyNumberFormat="1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left" vertical="center" wrapText="1"/>
    </xf>
    <xf numFmtId="14" fontId="0" fillId="0" borderId="32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right" wrapText="1"/>
    </xf>
    <xf numFmtId="14" fontId="0" fillId="2" borderId="37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/>
    </xf>
    <xf numFmtId="3" fontId="19" fillId="2" borderId="24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2" borderId="1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 wrapText="1"/>
    </xf>
    <xf numFmtId="3" fontId="16" fillId="2" borderId="12" xfId="0" applyNumberFormat="1" applyFont="1" applyFill="1" applyBorder="1" applyAlignment="1">
      <alignment horizontal="center" vertical="center"/>
    </xf>
    <xf numFmtId="14" fontId="0" fillId="2" borderId="32" xfId="0" applyNumberFormat="1" applyFont="1" applyFill="1" applyBorder="1" applyAlignment="1">
      <alignment horizontal="center" vertical="center"/>
    </xf>
    <xf numFmtId="3" fontId="21" fillId="2" borderId="12" xfId="0" applyNumberFormat="1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 wrapText="1"/>
    </xf>
    <xf numFmtId="3" fontId="19" fillId="3" borderId="1" xfId="0" applyNumberFormat="1" applyFont="1" applyFill="1" applyBorder="1" applyAlignment="1">
      <alignment horizontal="center" vertical="center"/>
    </xf>
    <xf numFmtId="3" fontId="22" fillId="2" borderId="33" xfId="0" applyNumberFormat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wrapText="1"/>
    </xf>
    <xf numFmtId="0" fontId="13" fillId="2" borderId="2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3" fontId="13" fillId="3" borderId="5" xfId="0" applyNumberFormat="1" applyFont="1" applyFill="1" applyBorder="1" applyAlignment="1">
      <alignment horizontal="center" vertical="center"/>
    </xf>
    <xf numFmtId="3" fontId="13" fillId="3" borderId="24" xfId="0" applyNumberFormat="1" applyFont="1" applyFill="1" applyBorder="1" applyAlignment="1">
      <alignment horizontal="center" vertical="center"/>
    </xf>
    <xf numFmtId="3" fontId="13" fillId="3" borderId="1" xfId="0" applyNumberFormat="1" applyFont="1" applyFill="1" applyBorder="1" applyAlignment="1">
      <alignment horizontal="center" vertical="center"/>
    </xf>
    <xf numFmtId="3" fontId="13" fillId="3" borderId="12" xfId="0" applyNumberFormat="1" applyFont="1" applyFill="1" applyBorder="1" applyAlignment="1">
      <alignment horizontal="center" vertical="center"/>
    </xf>
    <xf numFmtId="3" fontId="13" fillId="2" borderId="28" xfId="0" applyNumberFormat="1" applyFont="1" applyFill="1" applyBorder="1" applyAlignment="1">
      <alignment horizontal="center" vertical="center"/>
    </xf>
    <xf numFmtId="3" fontId="23" fillId="2" borderId="24" xfId="0" applyNumberFormat="1" applyFont="1" applyFill="1" applyBorder="1" applyAlignment="1">
      <alignment horizontal="center" vertical="center"/>
    </xf>
    <xf numFmtId="3" fontId="13" fillId="2" borderId="12" xfId="0" applyNumberFormat="1" applyFont="1" applyFill="1" applyBorder="1" applyAlignment="1">
      <alignment horizontal="center" vertical="center"/>
    </xf>
    <xf numFmtId="14" fontId="0" fillId="0" borderId="39" xfId="0" applyNumberFormat="1" applyFont="1" applyFill="1" applyBorder="1" applyAlignment="1">
      <alignment horizontal="center" vertical="center"/>
    </xf>
    <xf numFmtId="3" fontId="16" fillId="2" borderId="24" xfId="0" applyNumberFormat="1" applyFont="1" applyFill="1" applyBorder="1" applyAlignment="1">
      <alignment horizontal="center" vertical="center"/>
    </xf>
    <xf numFmtId="3" fontId="16" fillId="2" borderId="1" xfId="0" applyNumberFormat="1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wrapText="1"/>
    </xf>
    <xf numFmtId="0" fontId="0" fillId="6" borderId="24" xfId="0" applyFont="1" applyFill="1" applyBorder="1" applyAlignment="1">
      <alignment horizontal="center" vertical="center"/>
    </xf>
    <xf numFmtId="0" fontId="0" fillId="6" borderId="32" xfId="0" applyFont="1" applyFill="1" applyBorder="1" applyAlignment="1">
      <alignment horizontal="center" vertical="center"/>
    </xf>
    <xf numFmtId="3" fontId="0" fillId="6" borderId="5" xfId="0" applyNumberFormat="1" applyFont="1" applyFill="1" applyBorder="1" applyAlignment="1">
      <alignment horizontal="center" vertical="center"/>
    </xf>
    <xf numFmtId="3" fontId="0" fillId="6" borderId="1" xfId="0" applyNumberFormat="1" applyFont="1" applyFill="1" applyBorder="1" applyAlignment="1">
      <alignment horizontal="center" vertical="center"/>
    </xf>
    <xf numFmtId="3" fontId="0" fillId="6" borderId="6" xfId="0" applyNumberFormat="1" applyFont="1" applyFill="1" applyBorder="1" applyAlignment="1">
      <alignment horizontal="center" vertical="center"/>
    </xf>
    <xf numFmtId="3" fontId="16" fillId="6" borderId="5" xfId="0" applyNumberFormat="1" applyFont="1" applyFill="1" applyBorder="1" applyAlignment="1">
      <alignment horizontal="center" vertical="center"/>
    </xf>
    <xf numFmtId="3" fontId="18" fillId="6" borderId="24" xfId="0" applyNumberFormat="1" applyFont="1" applyFill="1" applyBorder="1" applyAlignment="1">
      <alignment horizontal="center" vertical="center"/>
    </xf>
    <xf numFmtId="3" fontId="16" fillId="6" borderId="1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3" fontId="21" fillId="2" borderId="54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3" fontId="16" fillId="2" borderId="25" xfId="0" applyNumberFormat="1" applyFont="1" applyFill="1" applyBorder="1" applyAlignment="1">
      <alignment horizontal="center" vertical="center"/>
    </xf>
    <xf numFmtId="3" fontId="20" fillId="5" borderId="6" xfId="0" applyNumberFormat="1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horizontal="center" wrapText="1"/>
    </xf>
    <xf numFmtId="0" fontId="0" fillId="2" borderId="42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3" fontId="16" fillId="0" borderId="24" xfId="0" applyNumberFormat="1" applyFont="1" applyFill="1" applyBorder="1" applyAlignment="1">
      <alignment horizontal="center" vertical="center"/>
    </xf>
    <xf numFmtId="3" fontId="24" fillId="2" borderId="33" xfId="0" applyNumberFormat="1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6" fillId="4" borderId="38" xfId="0" applyFont="1" applyFill="1" applyBorder="1" applyAlignment="1">
      <alignment vertical="center" wrapText="1"/>
    </xf>
    <xf numFmtId="3" fontId="16" fillId="2" borderId="23" xfId="0" applyNumberFormat="1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left" wrapText="1"/>
    </xf>
    <xf numFmtId="0" fontId="0" fillId="7" borderId="24" xfId="0" applyFont="1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3" fontId="0" fillId="7" borderId="5" xfId="0" applyNumberFormat="1" applyFont="1" applyFill="1" applyBorder="1" applyAlignment="1">
      <alignment horizontal="center" vertical="center"/>
    </xf>
    <xf numFmtId="3" fontId="0" fillId="7" borderId="1" xfId="0" applyNumberFormat="1" applyFont="1" applyFill="1" applyBorder="1" applyAlignment="1">
      <alignment horizontal="center" vertical="center"/>
    </xf>
    <xf numFmtId="3" fontId="0" fillId="7" borderId="6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2" borderId="64" xfId="0" applyFont="1" applyFill="1" applyBorder="1" applyAlignment="1">
      <alignment horizontal="center" vertical="center" wrapText="1"/>
    </xf>
    <xf numFmtId="0" fontId="0" fillId="2" borderId="65" xfId="0" applyFont="1" applyFill="1" applyBorder="1" applyAlignment="1">
      <alignment horizontal="center" vertical="center" wrapText="1"/>
    </xf>
    <xf numFmtId="0" fontId="16" fillId="0" borderId="65" xfId="0" applyFont="1" applyFill="1" applyBorder="1" applyAlignment="1">
      <alignment horizontal="center" vertical="center" wrapText="1"/>
    </xf>
    <xf numFmtId="0" fontId="0" fillId="2" borderId="63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0" fillId="6" borderId="65" xfId="0" applyFont="1" applyFill="1" applyBorder="1" applyAlignment="1">
      <alignment horizontal="center" vertical="center" wrapText="1"/>
    </xf>
    <xf numFmtId="0" fontId="0" fillId="7" borderId="65" xfId="0" applyFont="1" applyFill="1" applyBorder="1" applyAlignment="1">
      <alignment horizontal="center" vertical="center" wrapText="1"/>
    </xf>
    <xf numFmtId="0" fontId="16" fillId="2" borderId="65" xfId="0" applyFont="1" applyFill="1" applyBorder="1" applyAlignment="1">
      <alignment horizontal="center" vertical="center" wrapText="1"/>
    </xf>
    <xf numFmtId="0" fontId="0" fillId="4" borderId="6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0" fontId="0" fillId="2" borderId="42" xfId="0" applyFont="1" applyFill="1" applyBorder="1" applyAlignment="1">
      <alignment horizontal="right" wrapText="1"/>
    </xf>
    <xf numFmtId="0" fontId="3" fillId="2" borderId="14" xfId="0" applyFont="1" applyFill="1" applyBorder="1" applyAlignment="1">
      <alignment horizontal="right" wrapText="1"/>
    </xf>
    <xf numFmtId="0" fontId="3" fillId="2" borderId="11" xfId="0" applyFont="1" applyFill="1" applyBorder="1" applyAlignment="1">
      <alignment horizontal="right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55" xfId="0" applyFont="1" applyFill="1" applyBorder="1" applyAlignment="1">
      <alignment horizontal="center" vertical="center" wrapText="1"/>
    </xf>
    <xf numFmtId="14" fontId="0" fillId="2" borderId="6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42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14" fontId="0" fillId="2" borderId="31" xfId="0" applyNumberFormat="1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vertical="center"/>
    </xf>
    <xf numFmtId="3" fontId="6" fillId="8" borderId="33" xfId="0" applyNumberFormat="1" applyFont="1" applyFill="1" applyBorder="1" applyAlignment="1">
      <alignment horizontal="center" vertical="center"/>
    </xf>
    <xf numFmtId="3" fontId="6" fillId="9" borderId="33" xfId="0" applyNumberFormat="1" applyFont="1" applyFill="1" applyBorder="1" applyAlignment="1">
      <alignment horizontal="center" vertical="center"/>
    </xf>
    <xf numFmtId="3" fontId="6" fillId="9" borderId="38" xfId="0" applyNumberFormat="1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3" fontId="6" fillId="10" borderId="20" xfId="0" applyNumberFormat="1" applyFont="1" applyFill="1" applyBorder="1" applyAlignment="1">
      <alignment horizontal="center" vertical="center" wrapText="1"/>
    </xf>
    <xf numFmtId="0" fontId="6" fillId="10" borderId="20" xfId="0" applyFont="1" applyFill="1" applyBorder="1" applyAlignment="1">
      <alignment horizontal="center" vertical="center"/>
    </xf>
    <xf numFmtId="0" fontId="6" fillId="10" borderId="47" xfId="0" applyFont="1" applyFill="1" applyBorder="1" applyAlignment="1">
      <alignment horizontal="center" vertical="center"/>
    </xf>
    <xf numFmtId="3" fontId="6" fillId="10" borderId="33" xfId="0" applyNumberFormat="1" applyFont="1" applyFill="1" applyBorder="1" applyAlignment="1">
      <alignment horizontal="center" vertical="center"/>
    </xf>
    <xf numFmtId="3" fontId="22" fillId="10" borderId="33" xfId="0" applyNumberFormat="1" applyFont="1" applyFill="1" applyBorder="1" applyAlignment="1">
      <alignment horizontal="center" vertical="center"/>
    </xf>
    <xf numFmtId="0" fontId="6" fillId="10" borderId="33" xfId="0" applyFont="1" applyFill="1" applyBorder="1" applyAlignment="1">
      <alignment horizontal="center" vertical="center" wrapText="1"/>
    </xf>
    <xf numFmtId="0" fontId="6" fillId="10" borderId="46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/>
    </xf>
    <xf numFmtId="0" fontId="25" fillId="2" borderId="33" xfId="0" applyFont="1" applyFill="1" applyBorder="1" applyAlignment="1">
      <alignment horizontal="right" vertical="center" wrapText="1"/>
    </xf>
    <xf numFmtId="3" fontId="22" fillId="2" borderId="4" xfId="0" applyNumberFormat="1" applyFont="1" applyFill="1" applyBorder="1" applyAlignment="1">
      <alignment horizontal="center" vertical="center"/>
    </xf>
    <xf numFmtId="3" fontId="0" fillId="0" borderId="4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6" xfId="0" applyNumberFormat="1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center" vertical="center"/>
    </xf>
    <xf numFmtId="0" fontId="0" fillId="2" borderId="65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16" fillId="0" borderId="11" xfId="0" applyFont="1" applyFill="1" applyBorder="1" applyAlignment="1">
      <alignment horizontal="right" wrapText="1"/>
    </xf>
    <xf numFmtId="3" fontId="20" fillId="5" borderId="1" xfId="0" applyNumberFormat="1" applyFont="1" applyFill="1" applyBorder="1" applyAlignment="1">
      <alignment horizontal="center" vertical="center"/>
    </xf>
    <xf numFmtId="3" fontId="22" fillId="5" borderId="18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wrapText="1"/>
    </xf>
    <xf numFmtId="0" fontId="26" fillId="2" borderId="24" xfId="0" applyFont="1" applyFill="1" applyBorder="1" applyAlignment="1">
      <alignment horizontal="center" vertical="center"/>
    </xf>
    <xf numFmtId="3" fontId="26" fillId="2" borderId="5" xfId="0" applyNumberFormat="1" applyFont="1" applyFill="1" applyBorder="1" applyAlignment="1">
      <alignment horizontal="center" vertical="center"/>
    </xf>
    <xf numFmtId="3" fontId="26" fillId="2" borderId="1" xfId="0" applyNumberFormat="1" applyFont="1" applyFill="1" applyBorder="1" applyAlignment="1">
      <alignment horizontal="center" vertical="center"/>
    </xf>
    <xf numFmtId="3" fontId="26" fillId="3" borderId="1" xfId="0" applyNumberFormat="1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left" wrapText="1"/>
    </xf>
    <xf numFmtId="0" fontId="26" fillId="5" borderId="11" xfId="0" applyFont="1" applyFill="1" applyBorder="1" applyAlignment="1">
      <alignment wrapText="1"/>
    </xf>
    <xf numFmtId="0" fontId="26" fillId="5" borderId="24" xfId="0" applyFont="1" applyFill="1" applyBorder="1" applyAlignment="1">
      <alignment horizontal="center" vertical="center"/>
    </xf>
    <xf numFmtId="0" fontId="26" fillId="5" borderId="65" xfId="0" applyFont="1" applyFill="1" applyBorder="1" applyAlignment="1">
      <alignment horizontal="center" vertical="center" wrapText="1"/>
    </xf>
    <xf numFmtId="0" fontId="26" fillId="5" borderId="32" xfId="0" applyFont="1" applyFill="1" applyBorder="1" applyAlignment="1">
      <alignment horizontal="center" vertical="center"/>
    </xf>
    <xf numFmtId="3" fontId="26" fillId="5" borderId="5" xfId="0" applyNumberFormat="1" applyFont="1" applyFill="1" applyBorder="1" applyAlignment="1">
      <alignment horizontal="center" vertical="center"/>
    </xf>
    <xf numFmtId="3" fontId="26" fillId="5" borderId="1" xfId="0" applyNumberFormat="1" applyFont="1" applyFill="1" applyBorder="1" applyAlignment="1">
      <alignment horizontal="center" vertical="center"/>
    </xf>
    <xf numFmtId="3" fontId="26" fillId="5" borderId="6" xfId="0" applyNumberFormat="1" applyFont="1" applyFill="1" applyBorder="1" applyAlignment="1">
      <alignment horizontal="center" vertical="center"/>
    </xf>
    <xf numFmtId="0" fontId="26" fillId="5" borderId="11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3" fontId="27" fillId="2" borderId="24" xfId="0" applyNumberFormat="1" applyFont="1" applyFill="1" applyBorder="1" applyAlignment="1">
      <alignment horizontal="center" vertical="center"/>
    </xf>
    <xf numFmtId="3" fontId="26" fillId="2" borderId="12" xfId="0" applyNumberFormat="1" applyFont="1" applyFill="1" applyBorder="1" applyAlignment="1">
      <alignment horizontal="center" vertical="center"/>
    </xf>
    <xf numFmtId="3" fontId="26" fillId="3" borderId="28" xfId="0" applyNumberFormat="1" applyFont="1" applyFill="1" applyBorder="1" applyAlignment="1">
      <alignment horizontal="center" vertical="center"/>
    </xf>
    <xf numFmtId="3" fontId="26" fillId="3" borderId="24" xfId="0" applyNumberFormat="1" applyFont="1" applyFill="1" applyBorder="1" applyAlignment="1">
      <alignment horizontal="center" vertical="center"/>
    </xf>
    <xf numFmtId="3" fontId="26" fillId="3" borderId="12" xfId="0" applyNumberFormat="1" applyFont="1" applyFill="1" applyBorder="1" applyAlignment="1">
      <alignment horizontal="center" vertical="center"/>
    </xf>
    <xf numFmtId="3" fontId="26" fillId="3" borderId="54" xfId="0" applyNumberFormat="1" applyFont="1" applyFill="1" applyBorder="1" applyAlignment="1">
      <alignment horizontal="center" vertical="center"/>
    </xf>
    <xf numFmtId="3" fontId="26" fillId="2" borderId="55" xfId="0" applyNumberFormat="1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3" fontId="0" fillId="11" borderId="2" xfId="0" applyNumberFormat="1" applyFont="1" applyFill="1" applyBorder="1" applyAlignment="1">
      <alignment horizontal="center" vertical="center"/>
    </xf>
    <xf numFmtId="3" fontId="0" fillId="11" borderId="27" xfId="0" applyNumberFormat="1" applyFont="1" applyFill="1" applyBorder="1" applyAlignment="1">
      <alignment horizontal="center" vertical="center"/>
    </xf>
    <xf numFmtId="3" fontId="16" fillId="11" borderId="5" xfId="0" applyNumberFormat="1" applyFont="1" applyFill="1" applyBorder="1" applyAlignment="1">
      <alignment horizontal="center" vertical="center"/>
    </xf>
    <xf numFmtId="3" fontId="16" fillId="11" borderId="28" xfId="0" applyNumberFormat="1" applyFont="1" applyFill="1" applyBorder="1" applyAlignment="1">
      <alignment horizontal="center" vertical="center"/>
    </xf>
    <xf numFmtId="3" fontId="0" fillId="11" borderId="13" xfId="0" applyNumberFormat="1" applyFont="1" applyFill="1" applyBorder="1" applyAlignment="1">
      <alignment horizontal="center" vertical="center"/>
    </xf>
    <xf numFmtId="3" fontId="0" fillId="11" borderId="5" xfId="0" applyNumberFormat="1" applyFont="1" applyFill="1" applyBorder="1" applyAlignment="1">
      <alignment horizontal="center" vertical="center"/>
    </xf>
    <xf numFmtId="3" fontId="0" fillId="11" borderId="10" xfId="0" applyNumberFormat="1" applyFont="1" applyFill="1" applyBorder="1" applyAlignment="1">
      <alignment horizontal="center" vertical="center"/>
    </xf>
    <xf numFmtId="3" fontId="29" fillId="2" borderId="20" xfId="0" applyNumberFormat="1" applyFont="1" applyFill="1" applyBorder="1" applyAlignment="1">
      <alignment horizontal="center" vertical="center" wrapText="1"/>
    </xf>
    <xf numFmtId="0" fontId="0" fillId="11" borderId="0" xfId="0" applyFont="1" applyFill="1" applyAlignment="1">
      <alignment horizontal="center" vertical="center"/>
    </xf>
    <xf numFmtId="3" fontId="13" fillId="11" borderId="5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30" fillId="11" borderId="4" xfId="0" applyNumberFormat="1" applyFont="1" applyFill="1" applyBorder="1" applyAlignment="1">
      <alignment horizontal="center" vertical="center"/>
    </xf>
    <xf numFmtId="3" fontId="30" fillId="11" borderId="12" xfId="0" applyNumberFormat="1" applyFont="1" applyFill="1" applyBorder="1" applyAlignment="1">
      <alignment horizontal="center" vertical="center"/>
    </xf>
    <xf numFmtId="3" fontId="30" fillId="11" borderId="54" xfId="0" applyNumberFormat="1" applyFont="1" applyFill="1" applyBorder="1" applyAlignment="1">
      <alignment horizontal="center" vertical="center"/>
    </xf>
    <xf numFmtId="3" fontId="30" fillId="11" borderId="6" xfId="0" applyNumberFormat="1" applyFont="1" applyFill="1" applyBorder="1" applyAlignment="1">
      <alignment horizontal="center" vertical="center"/>
    </xf>
    <xf numFmtId="165" fontId="0" fillId="2" borderId="0" xfId="2" applyNumberFormat="1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/>
    </xf>
    <xf numFmtId="0" fontId="26" fillId="2" borderId="0" xfId="0" applyFont="1" applyFill="1" applyBorder="1" applyAlignment="1"/>
    <xf numFmtId="0" fontId="26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left" vertical="center"/>
    </xf>
    <xf numFmtId="3" fontId="22" fillId="2" borderId="62" xfId="0" applyNumberFormat="1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3" fontId="0" fillId="2" borderId="0" xfId="0" applyNumberFormat="1" applyFont="1" applyFill="1" applyAlignment="1">
      <alignment horizontal="center" vertical="center" wrapText="1"/>
    </xf>
    <xf numFmtId="3" fontId="11" fillId="2" borderId="0" xfId="0" applyNumberFormat="1" applyFont="1" applyFill="1" applyAlignment="1">
      <alignment horizontal="center" vertical="center"/>
    </xf>
    <xf numFmtId="3" fontId="4" fillId="12" borderId="55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 vertical="center"/>
    </xf>
    <xf numFmtId="3" fontId="11" fillId="2" borderId="6" xfId="0" applyNumberFormat="1" applyFont="1" applyFill="1" applyBorder="1" applyAlignment="1">
      <alignment horizontal="center" vertical="center"/>
    </xf>
    <xf numFmtId="3" fontId="11" fillId="2" borderId="55" xfId="0" applyNumberFormat="1" applyFont="1" applyFill="1" applyBorder="1" applyAlignment="1">
      <alignment horizontal="center" vertical="center"/>
    </xf>
    <xf numFmtId="3" fontId="13" fillId="2" borderId="55" xfId="0" applyNumberFormat="1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3" fontId="0" fillId="2" borderId="57" xfId="0" applyNumberFormat="1" applyFont="1" applyFill="1" applyBorder="1" applyAlignment="1">
      <alignment horizontal="center" vertical="center"/>
    </xf>
    <xf numFmtId="3" fontId="0" fillId="2" borderId="52" xfId="0" applyNumberFormat="1" applyFont="1" applyFill="1" applyBorder="1" applyAlignment="1">
      <alignment horizontal="center" vertical="center"/>
    </xf>
    <xf numFmtId="3" fontId="0" fillId="2" borderId="58" xfId="0" applyNumberFormat="1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4" borderId="38" xfId="0" applyNumberFormat="1" applyFont="1" applyFill="1" applyBorder="1" applyAlignment="1">
      <alignment horizontal="center" vertical="center"/>
    </xf>
    <xf numFmtId="3" fontId="1" fillId="4" borderId="35" xfId="0" applyNumberFormat="1" applyFont="1" applyFill="1" applyBorder="1" applyAlignment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3" fontId="1" fillId="4" borderId="40" xfId="0" applyNumberFormat="1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48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 wrapText="1"/>
    </xf>
    <xf numFmtId="3" fontId="1" fillId="4" borderId="33" xfId="0" applyNumberFormat="1" applyFont="1" applyFill="1" applyBorder="1" applyAlignment="1">
      <alignment horizontal="center" vertical="center"/>
    </xf>
    <xf numFmtId="0" fontId="0" fillId="2" borderId="66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3" fontId="0" fillId="2" borderId="38" xfId="0" applyNumberFormat="1" applyFont="1" applyFill="1" applyBorder="1" applyAlignment="1">
      <alignment horizontal="center" vertical="center"/>
    </xf>
    <xf numFmtId="3" fontId="0" fillId="2" borderId="35" xfId="0" applyNumberFormat="1" applyFont="1" applyFill="1" applyBorder="1" applyAlignment="1">
      <alignment horizontal="center" vertical="center"/>
    </xf>
    <xf numFmtId="3" fontId="0" fillId="2" borderId="53" xfId="0" applyNumberFormat="1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3">
    <cellStyle name="Ezres" xfId="2" builtinId="3"/>
    <cellStyle name="Normál" xfId="0" builtinId="0"/>
    <cellStyle name="Pénznem" xfId="1" builtinId="4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9"/>
  <sheetViews>
    <sheetView tabSelected="1" zoomScaleNormal="100" workbookViewId="0">
      <selection activeCell="A70" sqref="A70:XFD70"/>
    </sheetView>
  </sheetViews>
  <sheetFormatPr defaultColWidth="8.85546875" defaultRowHeight="15" x14ac:dyDescent="0.25"/>
  <cols>
    <col min="1" max="1" width="20.140625" style="28" customWidth="1"/>
    <col min="2" max="2" width="65.42578125" style="27" customWidth="1"/>
    <col min="3" max="3" width="33.7109375" style="9" hidden="1" customWidth="1"/>
    <col min="4" max="4" width="5.5703125" style="9" hidden="1" customWidth="1"/>
    <col min="5" max="5" width="5.140625" style="9" hidden="1" customWidth="1"/>
    <col min="6" max="6" width="4.7109375" style="9" hidden="1" customWidth="1"/>
    <col min="7" max="7" width="15.140625" style="9" bestFit="1" customWidth="1"/>
    <col min="8" max="8" width="12.42578125" style="9" bestFit="1" customWidth="1"/>
    <col min="9" max="9" width="11.28515625" style="9" bestFit="1" customWidth="1"/>
    <col min="10" max="10" width="14.28515625" style="9" bestFit="1" customWidth="1"/>
    <col min="11" max="11" width="11.28515625" style="9" bestFit="1" customWidth="1"/>
    <col min="12" max="12" width="11.7109375" style="9" bestFit="1" customWidth="1"/>
    <col min="13" max="13" width="11.28515625" style="9" bestFit="1" customWidth="1"/>
    <col min="14" max="14" width="10.85546875" style="9" bestFit="1" customWidth="1"/>
    <col min="15" max="15" width="11.28515625" style="9" bestFit="1" customWidth="1"/>
    <col min="16" max="16" width="11.7109375" style="9" bestFit="1" customWidth="1"/>
    <col min="17" max="17" width="10.140625" style="9" bestFit="1" customWidth="1"/>
    <col min="18" max="18" width="10.7109375" style="9" bestFit="1" customWidth="1"/>
    <col min="19" max="19" width="9.28515625" style="26" customWidth="1"/>
    <col min="20" max="20" width="8.42578125" style="26" customWidth="1"/>
    <col min="21" max="21" width="7.42578125" style="26" customWidth="1"/>
    <col min="22" max="22" width="8.85546875" style="27"/>
    <col min="23" max="23" width="10.5703125" style="335" bestFit="1" customWidth="1"/>
    <col min="24" max="24" width="12.7109375" style="9" bestFit="1" customWidth="1"/>
    <col min="25" max="25" width="10.140625" style="9" customWidth="1"/>
    <col min="26" max="16384" width="8.85546875" style="9"/>
  </cols>
  <sheetData>
    <row r="1" spans="1:24" ht="46.15" customHeight="1" x14ac:dyDescent="0.25">
      <c r="A1" s="461" t="s">
        <v>74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</row>
    <row r="2" spans="1:24" ht="15.75" thickBot="1" x14ac:dyDescent="0.3">
      <c r="A2" s="45"/>
      <c r="S2" s="55"/>
    </row>
    <row r="3" spans="1:24" s="28" customFormat="1" ht="30" customHeight="1" thickBot="1" x14ac:dyDescent="0.3">
      <c r="A3" s="462" t="s">
        <v>0</v>
      </c>
      <c r="B3" s="464" t="s">
        <v>1</v>
      </c>
      <c r="C3" s="466" t="s">
        <v>8</v>
      </c>
      <c r="D3" s="468" t="s">
        <v>4</v>
      </c>
      <c r="E3" s="470" t="s">
        <v>5</v>
      </c>
      <c r="F3" s="472" t="s">
        <v>6</v>
      </c>
      <c r="G3" s="474" t="s">
        <v>109</v>
      </c>
      <c r="H3" s="475"/>
      <c r="I3" s="475"/>
      <c r="J3" s="476"/>
      <c r="K3" s="474" t="s">
        <v>110</v>
      </c>
      <c r="L3" s="475"/>
      <c r="M3" s="475"/>
      <c r="N3" s="476"/>
      <c r="O3" s="477" t="s">
        <v>102</v>
      </c>
      <c r="P3" s="478"/>
      <c r="Q3" s="478"/>
      <c r="R3" s="479"/>
      <c r="S3" s="29" t="s">
        <v>15</v>
      </c>
      <c r="T3" s="483" t="s">
        <v>73</v>
      </c>
      <c r="U3" s="464"/>
      <c r="V3" s="484"/>
      <c r="W3" s="336"/>
    </row>
    <row r="4" spans="1:24" s="311" customFormat="1" ht="30.75" thickBot="1" x14ac:dyDescent="0.3">
      <c r="A4" s="463"/>
      <c r="B4" s="465"/>
      <c r="C4" s="467"/>
      <c r="D4" s="469"/>
      <c r="E4" s="471"/>
      <c r="F4" s="473"/>
      <c r="G4" s="82" t="s">
        <v>11</v>
      </c>
      <c r="H4" s="82" t="s">
        <v>171</v>
      </c>
      <c r="I4" s="82" t="s">
        <v>104</v>
      </c>
      <c r="J4" s="82" t="s">
        <v>106</v>
      </c>
      <c r="K4" s="82" t="s">
        <v>11</v>
      </c>
      <c r="L4" s="82" t="s">
        <v>171</v>
      </c>
      <c r="M4" s="310" t="s">
        <v>104</v>
      </c>
      <c r="N4" s="82" t="s">
        <v>106</v>
      </c>
      <c r="O4" s="82" t="s">
        <v>11</v>
      </c>
      <c r="P4" s="82" t="s">
        <v>171</v>
      </c>
      <c r="Q4" s="82" t="s">
        <v>104</v>
      </c>
      <c r="R4" s="82" t="s">
        <v>106</v>
      </c>
      <c r="S4" s="89"/>
      <c r="T4" s="65" t="s">
        <v>12</v>
      </c>
      <c r="U4" s="65" t="s">
        <v>13</v>
      </c>
      <c r="V4" s="66" t="s">
        <v>14</v>
      </c>
      <c r="W4" s="337"/>
    </row>
    <row r="5" spans="1:24" ht="30" customHeight="1" thickBot="1" x14ac:dyDescent="0.3">
      <c r="A5" s="68"/>
      <c r="B5" s="312" t="s">
        <v>75</v>
      </c>
      <c r="C5" s="30"/>
      <c r="D5" s="31"/>
      <c r="E5" s="32"/>
      <c r="F5" s="30"/>
      <c r="G5" s="74"/>
      <c r="H5" s="67"/>
      <c r="I5" s="74"/>
      <c r="J5" s="74"/>
      <c r="K5" s="74"/>
      <c r="L5" s="74"/>
      <c r="M5" s="67"/>
      <c r="N5" s="67"/>
      <c r="O5" s="24"/>
      <c r="P5" s="67"/>
      <c r="Q5" s="67"/>
      <c r="R5" s="84"/>
      <c r="S5" s="90"/>
      <c r="T5" s="33"/>
      <c r="U5" s="33"/>
      <c r="V5" s="47"/>
      <c r="W5" s="338"/>
    </row>
    <row r="6" spans="1:24" ht="29.25" customHeight="1" thickBot="1" x14ac:dyDescent="0.3">
      <c r="A6" s="314"/>
      <c r="B6" s="314" t="s">
        <v>76</v>
      </c>
      <c r="C6" s="231"/>
      <c r="D6" s="243"/>
      <c r="E6" s="244"/>
      <c r="F6" s="231"/>
      <c r="G6" s="485"/>
      <c r="H6" s="486"/>
      <c r="I6" s="486"/>
      <c r="J6" s="487"/>
      <c r="K6" s="485"/>
      <c r="L6" s="486"/>
      <c r="M6" s="486"/>
      <c r="N6" s="488"/>
      <c r="O6" s="485"/>
      <c r="P6" s="486"/>
      <c r="Q6" s="486"/>
      <c r="R6" s="487"/>
      <c r="S6" s="245"/>
      <c r="T6" s="246"/>
      <c r="U6" s="246"/>
      <c r="V6" s="247"/>
      <c r="W6" s="338"/>
    </row>
    <row r="7" spans="1:24" ht="30.6" customHeight="1" x14ac:dyDescent="0.25">
      <c r="A7" s="64" t="s">
        <v>16</v>
      </c>
      <c r="B7" s="16" t="s">
        <v>214</v>
      </c>
      <c r="C7" s="17"/>
      <c r="D7" s="18"/>
      <c r="E7" s="19" t="s">
        <v>7</v>
      </c>
      <c r="F7" s="17"/>
      <c r="G7" s="194"/>
      <c r="H7" s="195"/>
      <c r="I7" s="196"/>
      <c r="J7" s="197"/>
      <c r="K7" s="417">
        <f>11005000+170799</f>
        <v>11175799</v>
      </c>
      <c r="L7" s="315">
        <v>11175799</v>
      </c>
      <c r="M7" s="78">
        <v>11175799</v>
      </c>
      <c r="N7" s="428">
        <f>K7-M7</f>
        <v>0</v>
      </c>
      <c r="O7" s="198"/>
      <c r="P7" s="196"/>
      <c r="Q7" s="196"/>
      <c r="R7" s="199"/>
      <c r="S7" s="91"/>
      <c r="T7" s="23" t="s">
        <v>247</v>
      </c>
      <c r="U7" s="23" t="s">
        <v>17</v>
      </c>
      <c r="V7" s="46" t="s">
        <v>72</v>
      </c>
      <c r="W7" s="339"/>
    </row>
    <row r="8" spans="1:24" ht="20.45" customHeight="1" x14ac:dyDescent="0.25">
      <c r="A8" s="1" t="s">
        <v>64</v>
      </c>
      <c r="B8" s="10" t="s">
        <v>65</v>
      </c>
      <c r="C8" s="2"/>
      <c r="D8" s="3" t="s">
        <v>7</v>
      </c>
      <c r="E8" s="4"/>
      <c r="F8" s="2"/>
      <c r="G8" s="7">
        <v>20000000</v>
      </c>
      <c r="H8" s="265">
        <v>20000000</v>
      </c>
      <c r="I8" s="77"/>
      <c r="J8" s="6">
        <f>G8-H8</f>
        <v>0</v>
      </c>
      <c r="K8" s="200"/>
      <c r="L8" s="201"/>
      <c r="M8" s="202"/>
      <c r="N8" s="197"/>
      <c r="O8" s="200"/>
      <c r="P8" s="202"/>
      <c r="Q8" s="202"/>
      <c r="R8" s="199"/>
      <c r="S8" s="92"/>
      <c r="T8" s="23" t="s">
        <v>247</v>
      </c>
      <c r="U8" s="12" t="s">
        <v>58</v>
      </c>
      <c r="V8" s="44" t="s">
        <v>72</v>
      </c>
      <c r="W8" s="339"/>
    </row>
    <row r="9" spans="1:24" ht="19.899999999999999" customHeight="1" x14ac:dyDescent="0.25">
      <c r="A9" s="1" t="s">
        <v>64</v>
      </c>
      <c r="B9" s="10" t="s">
        <v>66</v>
      </c>
      <c r="C9" s="2"/>
      <c r="D9" s="3" t="s">
        <v>7</v>
      </c>
      <c r="E9" s="4"/>
      <c r="F9" s="2"/>
      <c r="G9" s="7">
        <v>10000000</v>
      </c>
      <c r="H9" s="265">
        <f>G9</f>
        <v>10000000</v>
      </c>
      <c r="I9" s="77"/>
      <c r="J9" s="6">
        <f t="shared" ref="J9:J15" si="0">G9-H9</f>
        <v>0</v>
      </c>
      <c r="K9" s="200"/>
      <c r="L9" s="201"/>
      <c r="M9" s="202"/>
      <c r="N9" s="197"/>
      <c r="O9" s="200"/>
      <c r="P9" s="202"/>
      <c r="Q9" s="202"/>
      <c r="R9" s="199"/>
      <c r="S9" s="92"/>
      <c r="T9" s="23" t="s">
        <v>247</v>
      </c>
      <c r="U9" s="12" t="s">
        <v>58</v>
      </c>
      <c r="V9" s="44" t="s">
        <v>72</v>
      </c>
      <c r="W9" s="339"/>
    </row>
    <row r="10" spans="1:24" ht="18" customHeight="1" x14ac:dyDescent="0.25">
      <c r="A10" s="1" t="s">
        <v>64</v>
      </c>
      <c r="B10" s="10" t="s">
        <v>67</v>
      </c>
      <c r="C10" s="2"/>
      <c r="D10" s="3" t="s">
        <v>7</v>
      </c>
      <c r="E10" s="4"/>
      <c r="F10" s="2"/>
      <c r="G10" s="7">
        <v>36000000</v>
      </c>
      <c r="H10" s="265">
        <f>G10</f>
        <v>36000000</v>
      </c>
      <c r="I10" s="77"/>
      <c r="J10" s="6">
        <f t="shared" si="0"/>
        <v>0</v>
      </c>
      <c r="K10" s="200"/>
      <c r="L10" s="201"/>
      <c r="M10" s="202"/>
      <c r="N10" s="197"/>
      <c r="O10" s="200"/>
      <c r="P10" s="202"/>
      <c r="Q10" s="202"/>
      <c r="R10" s="199"/>
      <c r="S10" s="92"/>
      <c r="T10" s="23" t="s">
        <v>247</v>
      </c>
      <c r="U10" s="12" t="s">
        <v>58</v>
      </c>
      <c r="V10" s="44" t="s">
        <v>72</v>
      </c>
      <c r="W10" s="339"/>
    </row>
    <row r="11" spans="1:24" ht="19.149999999999999" customHeight="1" x14ac:dyDescent="0.25">
      <c r="A11" s="1" t="s">
        <v>64</v>
      </c>
      <c r="B11" s="13" t="s">
        <v>89</v>
      </c>
      <c r="C11" s="2"/>
      <c r="D11" s="3" t="s">
        <v>7</v>
      </c>
      <c r="E11" s="4"/>
      <c r="F11" s="2"/>
      <c r="G11" s="7">
        <v>-36000000</v>
      </c>
      <c r="H11" s="265">
        <f t="shared" ref="H11:H15" si="1">G11</f>
        <v>-36000000</v>
      </c>
      <c r="I11" s="77"/>
      <c r="J11" s="6">
        <f t="shared" si="0"/>
        <v>0</v>
      </c>
      <c r="K11" s="200"/>
      <c r="L11" s="201"/>
      <c r="M11" s="202"/>
      <c r="N11" s="197"/>
      <c r="O11" s="200"/>
      <c r="P11" s="202"/>
      <c r="Q11" s="202"/>
      <c r="R11" s="199"/>
      <c r="S11" s="92"/>
      <c r="T11" s="23" t="s">
        <v>247</v>
      </c>
      <c r="U11" s="12" t="s">
        <v>58</v>
      </c>
      <c r="V11" s="44" t="s">
        <v>72</v>
      </c>
      <c r="W11" s="339"/>
    </row>
    <row r="12" spans="1:24" ht="21.6" customHeight="1" x14ac:dyDescent="0.25">
      <c r="A12" s="126" t="s">
        <v>71</v>
      </c>
      <c r="B12" s="113" t="s">
        <v>77</v>
      </c>
      <c r="C12" s="127"/>
      <c r="D12" s="252" t="s">
        <v>7</v>
      </c>
      <c r="E12" s="253"/>
      <c r="F12" s="127"/>
      <c r="G12" s="418">
        <f>14606000</f>
        <v>14606000</v>
      </c>
      <c r="H12" s="115">
        <v>11500837</v>
      </c>
      <c r="I12" s="115">
        <v>11500837</v>
      </c>
      <c r="J12" s="383">
        <f>G12-(H12+H13)</f>
        <v>-62.990000000223517</v>
      </c>
      <c r="K12" s="254"/>
      <c r="L12" s="255"/>
      <c r="M12" s="217"/>
      <c r="N12" s="218"/>
      <c r="O12" s="254"/>
      <c r="P12" s="217"/>
      <c r="Q12" s="217"/>
      <c r="R12" s="256"/>
      <c r="S12" s="116"/>
      <c r="T12" s="23" t="s">
        <v>247</v>
      </c>
      <c r="U12" s="117" t="s">
        <v>17</v>
      </c>
      <c r="V12" s="118" t="s">
        <v>72</v>
      </c>
      <c r="W12" s="339"/>
    </row>
    <row r="13" spans="1:24" ht="21.6" customHeight="1" x14ac:dyDescent="0.25">
      <c r="A13" s="126"/>
      <c r="B13" s="382" t="s">
        <v>211</v>
      </c>
      <c r="C13" s="127"/>
      <c r="D13" s="252"/>
      <c r="E13" s="253"/>
      <c r="F13" s="127"/>
      <c r="G13" s="130"/>
      <c r="H13" s="115">
        <f>H12*0.27</f>
        <v>3105225.99</v>
      </c>
      <c r="I13" s="115">
        <f t="shared" ref="I13" si="2">I12*0.27</f>
        <v>3105225.99</v>
      </c>
      <c r="J13" s="380"/>
      <c r="K13" s="254"/>
      <c r="L13" s="255"/>
      <c r="M13" s="217"/>
      <c r="N13" s="218"/>
      <c r="O13" s="254"/>
      <c r="P13" s="217"/>
      <c r="Q13" s="217"/>
      <c r="R13" s="256"/>
      <c r="S13" s="116"/>
      <c r="T13" s="117"/>
      <c r="U13" s="117"/>
      <c r="V13" s="118"/>
      <c r="W13" s="339"/>
    </row>
    <row r="14" spans="1:24" ht="13.9" customHeight="1" x14ac:dyDescent="0.25">
      <c r="A14" s="126" t="s">
        <v>71</v>
      </c>
      <c r="B14" s="131" t="s">
        <v>78</v>
      </c>
      <c r="C14" s="127"/>
      <c r="D14" s="252" t="s">
        <v>7</v>
      </c>
      <c r="E14" s="253"/>
      <c r="F14" s="127"/>
      <c r="G14" s="130">
        <v>-14606000</v>
      </c>
      <c r="H14" s="115">
        <v>-11500837</v>
      </c>
      <c r="I14" s="115">
        <v>-11500837</v>
      </c>
      <c r="J14" s="380"/>
      <c r="K14" s="254"/>
      <c r="L14" s="255"/>
      <c r="M14" s="217"/>
      <c r="N14" s="218"/>
      <c r="O14" s="254"/>
      <c r="P14" s="217"/>
      <c r="Q14" s="217"/>
      <c r="R14" s="256"/>
      <c r="S14" s="116"/>
      <c r="T14" s="117"/>
      <c r="U14" s="117"/>
      <c r="V14" s="118"/>
      <c r="W14" s="339"/>
      <c r="X14" s="27"/>
    </row>
    <row r="15" spans="1:24" ht="21.6" customHeight="1" x14ac:dyDescent="0.25">
      <c r="A15" s="1" t="s">
        <v>68</v>
      </c>
      <c r="B15" s="10" t="s">
        <v>69</v>
      </c>
      <c r="C15" s="2"/>
      <c r="D15" s="3" t="s">
        <v>7</v>
      </c>
      <c r="E15" s="4"/>
      <c r="F15" s="2"/>
      <c r="G15" s="7">
        <v>19000000</v>
      </c>
      <c r="H15" s="265">
        <f t="shared" si="1"/>
        <v>19000000</v>
      </c>
      <c r="I15" s="77"/>
      <c r="J15" s="6">
        <f t="shared" si="0"/>
        <v>0</v>
      </c>
      <c r="K15" s="200"/>
      <c r="L15" s="201"/>
      <c r="M15" s="202"/>
      <c r="N15" s="197"/>
      <c r="O15" s="200"/>
      <c r="P15" s="202"/>
      <c r="Q15" s="202"/>
      <c r="R15" s="199"/>
      <c r="S15" s="92"/>
      <c r="T15" s="23" t="s">
        <v>247</v>
      </c>
      <c r="U15" s="12" t="s">
        <v>91</v>
      </c>
      <c r="V15" s="44" t="s">
        <v>72</v>
      </c>
      <c r="W15" s="339"/>
    </row>
    <row r="16" spans="1:24" ht="22.9" customHeight="1" thickBot="1" x14ac:dyDescent="0.3">
      <c r="A16" s="42" t="s">
        <v>68</v>
      </c>
      <c r="B16" s="43" t="s">
        <v>70</v>
      </c>
      <c r="C16" s="34"/>
      <c r="D16" s="35" t="s">
        <v>7</v>
      </c>
      <c r="E16" s="36"/>
      <c r="F16" s="34"/>
      <c r="G16" s="37"/>
      <c r="H16" s="265"/>
      <c r="I16" s="80"/>
      <c r="J16" s="6"/>
      <c r="K16" s="203"/>
      <c r="L16" s="204"/>
      <c r="M16" s="205"/>
      <c r="N16" s="206"/>
      <c r="O16" s="203"/>
      <c r="P16" s="205"/>
      <c r="Q16" s="205"/>
      <c r="R16" s="199"/>
      <c r="S16" s="93"/>
      <c r="T16" s="23" t="s">
        <v>247</v>
      </c>
      <c r="U16" s="39" t="s">
        <v>17</v>
      </c>
      <c r="V16" s="56" t="s">
        <v>72</v>
      </c>
      <c r="W16" s="339"/>
    </row>
    <row r="17" spans="1:24" s="14" customFormat="1" ht="16.5" thickBot="1" x14ac:dyDescent="0.3">
      <c r="A17" s="25" t="s">
        <v>2</v>
      </c>
      <c r="B17" s="57"/>
      <c r="C17" s="58"/>
      <c r="D17" s="59"/>
      <c r="E17" s="60"/>
      <c r="F17" s="58"/>
      <c r="G17" s="79">
        <f>SUM(G7:G16)</f>
        <v>49000000</v>
      </c>
      <c r="H17" s="79">
        <f>SUM(H7:H16)-H13</f>
        <v>49000000</v>
      </c>
      <c r="I17" s="363">
        <f>SUM(I7:I16)-I13</f>
        <v>0</v>
      </c>
      <c r="J17" s="384">
        <f>J12</f>
        <v>-62.990000000223517</v>
      </c>
      <c r="K17" s="61">
        <f>SUM(K7:K16)</f>
        <v>11175799</v>
      </c>
      <c r="L17" s="61">
        <f>SUM(L7:L16)</f>
        <v>11175799</v>
      </c>
      <c r="M17" s="362">
        <f>SUM(M7:M16)</f>
        <v>11175799</v>
      </c>
      <c r="N17" s="374">
        <f>N7</f>
        <v>0</v>
      </c>
      <c r="O17" s="61">
        <f>SUM(O7:O16)</f>
        <v>0</v>
      </c>
      <c r="P17" s="61">
        <f>SUM(P7:P16)</f>
        <v>0</v>
      </c>
      <c r="Q17" s="362">
        <f>SUM(Q7:Q16)</f>
        <v>0</v>
      </c>
      <c r="R17" s="274">
        <f>O17-P17</f>
        <v>0</v>
      </c>
      <c r="S17" s="94"/>
      <c r="T17" s="57"/>
      <c r="U17" s="57"/>
      <c r="V17" s="62"/>
      <c r="W17" s="339"/>
    </row>
    <row r="18" spans="1:24" ht="29.25" customHeight="1" thickBot="1" x14ac:dyDescent="0.3">
      <c r="A18" s="480" t="s">
        <v>19</v>
      </c>
      <c r="B18" s="481"/>
      <c r="C18" s="231"/>
      <c r="D18" s="243"/>
      <c r="E18" s="244"/>
      <c r="F18" s="231"/>
      <c r="G18" s="485"/>
      <c r="H18" s="486"/>
      <c r="I18" s="486"/>
      <c r="J18" s="487"/>
      <c r="K18" s="485"/>
      <c r="L18" s="486"/>
      <c r="M18" s="486"/>
      <c r="N18" s="487"/>
      <c r="O18" s="485"/>
      <c r="P18" s="486"/>
      <c r="Q18" s="486"/>
      <c r="R18" s="487"/>
      <c r="S18" s="245"/>
      <c r="T18" s="246"/>
      <c r="U18" s="246"/>
      <c r="V18" s="248"/>
      <c r="W18" s="339"/>
    </row>
    <row r="19" spans="1:24" ht="21" customHeight="1" x14ac:dyDescent="0.25">
      <c r="A19" s="259" t="s">
        <v>125</v>
      </c>
      <c r="B19" s="16" t="s">
        <v>20</v>
      </c>
      <c r="C19" s="17"/>
      <c r="D19" s="18" t="s">
        <v>10</v>
      </c>
      <c r="E19" s="19"/>
      <c r="F19" s="17"/>
      <c r="G19" s="422">
        <f>2450000-354500</f>
        <v>2095500</v>
      </c>
      <c r="H19" s="22">
        <v>2095500</v>
      </c>
      <c r="I19" s="78">
        <f>'Részletező táblázat'!I21+'Részletező táblázat'!I22</f>
        <v>2095500</v>
      </c>
      <c r="J19" s="429">
        <f>G19-H19</f>
        <v>0</v>
      </c>
      <c r="K19" s="198"/>
      <c r="L19" s="195"/>
      <c r="M19" s="196"/>
      <c r="N19" s="192"/>
      <c r="O19" s="198"/>
      <c r="P19" s="196"/>
      <c r="Q19" s="196"/>
      <c r="R19" s="199"/>
      <c r="S19" s="91"/>
      <c r="T19" s="23" t="s">
        <v>247</v>
      </c>
      <c r="U19" s="23" t="s">
        <v>58</v>
      </c>
      <c r="V19" s="46" t="s">
        <v>72</v>
      </c>
      <c r="W19" s="339"/>
    </row>
    <row r="20" spans="1:24" ht="19.149999999999999" customHeight="1" x14ac:dyDescent="0.25">
      <c r="A20" s="259" t="s">
        <v>125</v>
      </c>
      <c r="B20" s="113" t="s">
        <v>21</v>
      </c>
      <c r="C20" s="110"/>
      <c r="D20" s="111"/>
      <c r="E20" s="112"/>
      <c r="F20" s="110" t="s">
        <v>7</v>
      </c>
      <c r="G20" s="189"/>
      <c r="H20" s="190"/>
      <c r="I20" s="191"/>
      <c r="J20" s="192"/>
      <c r="K20" s="193"/>
      <c r="L20" s="190"/>
      <c r="M20" s="191"/>
      <c r="N20" s="192"/>
      <c r="O20" s="419">
        <f>1143000+107950</f>
        <v>1250950</v>
      </c>
      <c r="P20" s="115">
        <v>1250950</v>
      </c>
      <c r="Q20" s="115">
        <f>'Részletező táblázat'!O23</f>
        <v>1250950</v>
      </c>
      <c r="R20" s="430">
        <f>O20-P20</f>
        <v>0</v>
      </c>
      <c r="S20" s="116"/>
      <c r="T20" s="23" t="s">
        <v>247</v>
      </c>
      <c r="U20" s="117" t="s">
        <v>17</v>
      </c>
      <c r="V20" s="118" t="s">
        <v>72</v>
      </c>
      <c r="W20" s="268"/>
      <c r="X20" s="188"/>
    </row>
    <row r="21" spans="1:24" ht="21.6" customHeight="1" x14ac:dyDescent="0.25">
      <c r="A21" s="259" t="s">
        <v>125</v>
      </c>
      <c r="B21" s="40" t="s">
        <v>90</v>
      </c>
      <c r="C21" s="2"/>
      <c r="D21" s="3" t="s">
        <v>7</v>
      </c>
      <c r="E21" s="4"/>
      <c r="F21" s="2"/>
      <c r="G21" s="7">
        <v>460000</v>
      </c>
      <c r="H21" s="8">
        <v>460000</v>
      </c>
      <c r="I21" s="77">
        <f>'Részletező táblázat'!I24</f>
        <v>460000</v>
      </c>
      <c r="J21" s="271">
        <f>G21-H21</f>
        <v>0</v>
      </c>
      <c r="K21" s="200"/>
      <c r="L21" s="201"/>
      <c r="M21" s="202"/>
      <c r="N21" s="192"/>
      <c r="O21" s="200"/>
      <c r="P21" s="202"/>
      <c r="Q21" s="202"/>
      <c r="R21" s="199"/>
      <c r="S21" s="95"/>
      <c r="T21" s="23" t="s">
        <v>247</v>
      </c>
      <c r="U21" s="12" t="s">
        <v>92</v>
      </c>
      <c r="V21" s="44" t="s">
        <v>72</v>
      </c>
      <c r="W21" s="339"/>
    </row>
    <row r="22" spans="1:24" ht="24" customHeight="1" x14ac:dyDescent="0.25">
      <c r="A22" s="259" t="s">
        <v>125</v>
      </c>
      <c r="B22" s="41" t="s">
        <v>59</v>
      </c>
      <c r="C22" s="2" t="s">
        <v>9</v>
      </c>
      <c r="D22" s="3" t="s">
        <v>7</v>
      </c>
      <c r="E22" s="4"/>
      <c r="F22" s="2"/>
      <c r="G22" s="418">
        <f>1300000+136624</f>
        <v>1436624</v>
      </c>
      <c r="H22" s="287">
        <v>1436624</v>
      </c>
      <c r="I22" s="77">
        <f>'Részletező táblázat'!I25</f>
        <v>1436624</v>
      </c>
      <c r="J22" s="429">
        <f>G22-H22</f>
        <v>0</v>
      </c>
      <c r="K22" s="200"/>
      <c r="L22" s="201"/>
      <c r="M22" s="202"/>
      <c r="N22" s="192"/>
      <c r="O22" s="200"/>
      <c r="P22" s="202"/>
      <c r="Q22" s="202"/>
      <c r="R22" s="199"/>
      <c r="S22" s="95"/>
      <c r="T22" s="23" t="s">
        <v>247</v>
      </c>
      <c r="U22" s="12" t="s">
        <v>60</v>
      </c>
      <c r="V22" s="44" t="s">
        <v>72</v>
      </c>
      <c r="W22" s="339"/>
    </row>
    <row r="23" spans="1:24" ht="22.9" hidden="1" customHeight="1" x14ac:dyDescent="0.25">
      <c r="A23" s="1"/>
      <c r="B23" s="275" t="s">
        <v>172</v>
      </c>
      <c r="C23" s="276"/>
      <c r="D23" s="277"/>
      <c r="E23" s="278" t="s">
        <v>7</v>
      </c>
      <c r="F23" s="276"/>
      <c r="G23" s="279"/>
      <c r="H23" s="280"/>
      <c r="I23" s="281"/>
      <c r="J23" s="282"/>
      <c r="K23" s="283">
        <v>20000000</v>
      </c>
      <c r="L23" s="284">
        <v>24257005</v>
      </c>
      <c r="M23" s="260"/>
      <c r="N23" s="285">
        <f>K23-L23</f>
        <v>-4257005</v>
      </c>
      <c r="O23" s="200"/>
      <c r="P23" s="202"/>
      <c r="Q23" s="202"/>
      <c r="R23" s="199"/>
      <c r="S23" s="95"/>
      <c r="T23" s="12" t="s">
        <v>18</v>
      </c>
      <c r="U23" s="12" t="s">
        <v>17</v>
      </c>
      <c r="V23" s="44" t="s">
        <v>72</v>
      </c>
      <c r="W23" s="339"/>
    </row>
    <row r="24" spans="1:24" ht="48" x14ac:dyDescent="0.25">
      <c r="A24" s="404" t="s">
        <v>223</v>
      </c>
      <c r="B24" s="40" t="s">
        <v>242</v>
      </c>
      <c r="C24" s="2"/>
      <c r="D24" s="3" t="s">
        <v>7</v>
      </c>
      <c r="E24" s="4"/>
      <c r="F24" s="2"/>
      <c r="G24" s="7">
        <f>33000000+15730000</f>
        <v>48730000</v>
      </c>
      <c r="H24" s="265">
        <f>G24</f>
        <v>48730000</v>
      </c>
      <c r="I24" s="77">
        <f>'Részletező táblázat'!H29</f>
        <v>14000</v>
      </c>
      <c r="J24" s="20">
        <f t="shared" ref="J24:J30" si="3">G24-H24</f>
        <v>0</v>
      </c>
      <c r="K24" s="200"/>
      <c r="L24" s="201"/>
      <c r="M24" s="202"/>
      <c r="N24" s="192"/>
      <c r="O24" s="200"/>
      <c r="P24" s="202"/>
      <c r="Q24" s="202"/>
      <c r="R24" s="199"/>
      <c r="S24" s="95"/>
      <c r="T24" s="23" t="s">
        <v>247</v>
      </c>
      <c r="U24" s="12" t="s">
        <v>58</v>
      </c>
      <c r="V24" s="44" t="s">
        <v>72</v>
      </c>
      <c r="W24" s="339"/>
    </row>
    <row r="25" spans="1:24" ht="25.5" customHeight="1" x14ac:dyDescent="0.25">
      <c r="A25" s="404" t="s">
        <v>220</v>
      </c>
      <c r="B25" s="389" t="s">
        <v>61</v>
      </c>
      <c r="C25" s="390"/>
      <c r="D25" s="405" t="s">
        <v>7</v>
      </c>
      <c r="E25" s="406"/>
      <c r="F25" s="390"/>
      <c r="G25" s="391">
        <v>15000000</v>
      </c>
      <c r="H25" s="407">
        <f t="shared" ref="H25:H27" si="4">G25</f>
        <v>15000000</v>
      </c>
      <c r="I25" s="392"/>
      <c r="J25" s="408">
        <f t="shared" si="3"/>
        <v>0</v>
      </c>
      <c r="K25" s="409"/>
      <c r="L25" s="410"/>
      <c r="M25" s="393"/>
      <c r="N25" s="411"/>
      <c r="O25" s="409"/>
      <c r="P25" s="393"/>
      <c r="Q25" s="393"/>
      <c r="R25" s="412"/>
      <c r="S25" s="413"/>
      <c r="T25" s="23" t="s">
        <v>247</v>
      </c>
      <c r="U25" s="414" t="s">
        <v>17</v>
      </c>
      <c r="V25" s="415" t="s">
        <v>72</v>
      </c>
      <c r="W25" s="339"/>
    </row>
    <row r="26" spans="1:24" ht="27.75" customHeight="1" x14ac:dyDescent="0.25">
      <c r="A26" s="404" t="s">
        <v>220</v>
      </c>
      <c r="B26" s="394" t="s">
        <v>81</v>
      </c>
      <c r="C26" s="390"/>
      <c r="D26" s="405" t="s">
        <v>7</v>
      </c>
      <c r="E26" s="406"/>
      <c r="F26" s="390"/>
      <c r="G26" s="391">
        <v>15000000</v>
      </c>
      <c r="H26" s="407">
        <f t="shared" si="4"/>
        <v>15000000</v>
      </c>
      <c r="I26" s="392"/>
      <c r="J26" s="408">
        <f t="shared" si="3"/>
        <v>0</v>
      </c>
      <c r="K26" s="409"/>
      <c r="L26" s="410"/>
      <c r="M26" s="393"/>
      <c r="N26" s="411"/>
      <c r="O26" s="409"/>
      <c r="P26" s="393"/>
      <c r="Q26" s="393"/>
      <c r="R26" s="412"/>
      <c r="S26" s="413"/>
      <c r="T26" s="23" t="s">
        <v>247</v>
      </c>
      <c r="U26" s="414" t="s">
        <v>17</v>
      </c>
      <c r="V26" s="415" t="s">
        <v>72</v>
      </c>
      <c r="W26" s="339"/>
    </row>
    <row r="27" spans="1:24" ht="48" x14ac:dyDescent="0.25">
      <c r="A27" s="1"/>
      <c r="B27" s="10" t="s">
        <v>114</v>
      </c>
      <c r="C27" s="2"/>
      <c r="D27" s="3" t="s">
        <v>7</v>
      </c>
      <c r="E27" s="4"/>
      <c r="F27" s="2"/>
      <c r="G27" s="263">
        <v>5675000</v>
      </c>
      <c r="H27" s="284">
        <f t="shared" si="4"/>
        <v>5675000</v>
      </c>
      <c r="I27" s="260"/>
      <c r="J27" s="285">
        <f t="shared" si="3"/>
        <v>0</v>
      </c>
      <c r="K27" s="200"/>
      <c r="L27" s="201"/>
      <c r="M27" s="202"/>
      <c r="N27" s="192"/>
      <c r="O27" s="200"/>
      <c r="P27" s="202"/>
      <c r="Q27" s="202"/>
      <c r="R27" s="199"/>
      <c r="S27" s="95"/>
      <c r="T27" s="12" t="s">
        <v>18</v>
      </c>
      <c r="U27" s="12" t="s">
        <v>62</v>
      </c>
      <c r="V27" s="44" t="s">
        <v>72</v>
      </c>
      <c r="W27" s="339"/>
    </row>
    <row r="28" spans="1:24" ht="32.25" customHeight="1" x14ac:dyDescent="0.25">
      <c r="A28" s="259" t="s">
        <v>125</v>
      </c>
      <c r="B28" s="43" t="s">
        <v>143</v>
      </c>
      <c r="C28" s="34"/>
      <c r="D28" s="35" t="s">
        <v>7</v>
      </c>
      <c r="E28" s="36"/>
      <c r="F28" s="34"/>
      <c r="G28" s="420">
        <f>2000000+1540034</f>
        <v>3540034</v>
      </c>
      <c r="H28" s="38">
        <f>'Részletező táblázat'!H34+'Részletező táblázat'!H35+'Részletező táblázat'!H36+'Részletező táblázat'!H37+'Részletező táblázat'!H38+'Részletező táblázat'!H39</f>
        <v>3540034</v>
      </c>
      <c r="I28" s="80">
        <f>'Részletező táblázat'!I34+'Részletező táblázat'!I35+'Részletező táblázat'!I36+'Részletező táblázat'!I37+'Részletező táblázat'!I38+'Részletező táblázat'!I39</f>
        <v>3540034</v>
      </c>
      <c r="J28" s="429">
        <f t="shared" si="3"/>
        <v>0</v>
      </c>
      <c r="K28" s="203"/>
      <c r="L28" s="204"/>
      <c r="M28" s="205"/>
      <c r="N28" s="208"/>
      <c r="O28" s="203"/>
      <c r="P28" s="205"/>
      <c r="Q28" s="205"/>
      <c r="R28" s="209"/>
      <c r="S28" s="96"/>
      <c r="T28" s="23" t="s">
        <v>247</v>
      </c>
      <c r="U28" s="39" t="s">
        <v>63</v>
      </c>
      <c r="V28" s="56" t="s">
        <v>72</v>
      </c>
      <c r="W28" s="339"/>
    </row>
    <row r="29" spans="1:24" ht="21.6" customHeight="1" x14ac:dyDescent="0.25">
      <c r="A29" s="300"/>
      <c r="B29" s="142" t="s">
        <v>45</v>
      </c>
      <c r="C29" s="143"/>
      <c r="D29" s="144"/>
      <c r="E29" s="144"/>
      <c r="F29" s="144"/>
      <c r="G29" s="135">
        <v>317000</v>
      </c>
      <c r="H29" s="266">
        <f>G29</f>
        <v>317000</v>
      </c>
      <c r="I29" s="145"/>
      <c r="J29" s="20">
        <f t="shared" si="3"/>
        <v>0</v>
      </c>
      <c r="K29" s="203"/>
      <c r="L29" s="205"/>
      <c r="M29" s="205"/>
      <c r="N29" s="197"/>
      <c r="O29" s="203"/>
      <c r="P29" s="205"/>
      <c r="Q29" s="205"/>
      <c r="R29" s="197"/>
      <c r="S29" s="146"/>
      <c r="T29" s="23" t="s">
        <v>247</v>
      </c>
      <c r="U29" s="147" t="s">
        <v>105</v>
      </c>
      <c r="V29" s="148" t="s">
        <v>72</v>
      </c>
      <c r="W29" s="339"/>
    </row>
    <row r="30" spans="1:24" ht="21.6" customHeight="1" thickBot="1" x14ac:dyDescent="0.3">
      <c r="A30" s="259" t="s">
        <v>125</v>
      </c>
      <c r="B30" s="43" t="s">
        <v>166</v>
      </c>
      <c r="C30" s="34"/>
      <c r="D30" s="35" t="s">
        <v>7</v>
      </c>
      <c r="E30" s="36"/>
      <c r="F30" s="34"/>
      <c r="G30" s="420">
        <f>500000+268000</f>
        <v>768000</v>
      </c>
      <c r="H30" s="301">
        <f>'Részletező táblázat'!H41</f>
        <v>768000</v>
      </c>
      <c r="I30" s="80">
        <f>'Részletező táblázat'!I41</f>
        <v>768000</v>
      </c>
      <c r="J30" s="431">
        <f t="shared" si="3"/>
        <v>0</v>
      </c>
      <c r="K30" s="203"/>
      <c r="L30" s="211"/>
      <c r="M30" s="205"/>
      <c r="N30" s="206"/>
      <c r="O30" s="203"/>
      <c r="P30" s="205"/>
      <c r="Q30" s="205"/>
      <c r="R30" s="206"/>
      <c r="S30" s="93" t="s">
        <v>26</v>
      </c>
      <c r="T30" s="39" t="s">
        <v>27</v>
      </c>
      <c r="U30" s="12" t="s">
        <v>97</v>
      </c>
      <c r="V30" s="56" t="s">
        <v>72</v>
      </c>
      <c r="W30" s="339"/>
    </row>
    <row r="31" spans="1:24" s="14" customFormat="1" ht="16.5" thickBot="1" x14ac:dyDescent="0.3">
      <c r="A31" s="81" t="s">
        <v>2</v>
      </c>
      <c r="B31" s="97"/>
      <c r="C31" s="98"/>
      <c r="D31" s="98"/>
      <c r="E31" s="98"/>
      <c r="F31" s="98"/>
      <c r="G31" s="61">
        <f>SUM(G19:G30)-G27-G25-G26</f>
        <v>57347158</v>
      </c>
      <c r="H31" s="61">
        <f>SUM(H19:H30)-H27-H25-H26</f>
        <v>57347158</v>
      </c>
      <c r="I31" s="362">
        <f>SUM(I19:I30)</f>
        <v>8314158</v>
      </c>
      <c r="J31" s="274">
        <f>SUM(J19:J30)</f>
        <v>0</v>
      </c>
      <c r="K31" s="61">
        <v>0</v>
      </c>
      <c r="L31" s="61">
        <v>0</v>
      </c>
      <c r="M31" s="362">
        <f t="shared" ref="M31" si="5">SUM(M19:M28)</f>
        <v>0</v>
      </c>
      <c r="N31" s="441">
        <f>K31-L31</f>
        <v>0</v>
      </c>
      <c r="O31" s="61">
        <f t="shared" ref="O31" si="6">SUM(O19:O28)</f>
        <v>1250950</v>
      </c>
      <c r="P31" s="61">
        <f t="shared" ref="P31" si="7">SUM(P19:P28)</f>
        <v>1250950</v>
      </c>
      <c r="Q31" s="362">
        <f t="shared" ref="Q31" si="8">SUM(Q19:Q28)</f>
        <v>1250950</v>
      </c>
      <c r="R31" s="274">
        <f>SUM(R19:R30)</f>
        <v>0</v>
      </c>
      <c r="S31" s="99"/>
      <c r="T31" s="97"/>
      <c r="U31" s="97"/>
      <c r="V31" s="97"/>
      <c r="W31" s="339"/>
    </row>
    <row r="32" spans="1:24" ht="37.5" customHeight="1" thickBot="1" x14ac:dyDescent="0.3">
      <c r="A32" s="482" t="s">
        <v>22</v>
      </c>
      <c r="B32" s="482"/>
      <c r="C32" s="236"/>
      <c r="D32" s="236"/>
      <c r="E32" s="236"/>
      <c r="F32" s="236"/>
      <c r="G32" s="485"/>
      <c r="H32" s="486"/>
      <c r="I32" s="486"/>
      <c r="J32" s="487"/>
      <c r="K32" s="485"/>
      <c r="L32" s="486"/>
      <c r="M32" s="486"/>
      <c r="N32" s="487"/>
      <c r="O32" s="485"/>
      <c r="P32" s="486"/>
      <c r="Q32" s="486"/>
      <c r="R32" s="487"/>
      <c r="S32" s="249"/>
      <c r="T32" s="236"/>
      <c r="U32" s="250"/>
      <c r="V32" s="251"/>
      <c r="W32" s="339"/>
    </row>
    <row r="33" spans="1:23" ht="24.6" customHeight="1" x14ac:dyDescent="0.25">
      <c r="A33" s="259" t="s">
        <v>125</v>
      </c>
      <c r="B33" s="16" t="s">
        <v>82</v>
      </c>
      <c r="C33" s="17"/>
      <c r="D33" s="18" t="s">
        <v>10</v>
      </c>
      <c r="E33" s="19"/>
      <c r="F33" s="17"/>
      <c r="G33" s="21">
        <v>19500000</v>
      </c>
      <c r="H33" s="22">
        <f>'Részletező táblázat'!H44</f>
        <v>19500000</v>
      </c>
      <c r="I33" s="78">
        <f>'Részletező táblázat'!I44</f>
        <v>19500000</v>
      </c>
      <c r="J33" s="271">
        <f>G33-H33</f>
        <v>0</v>
      </c>
      <c r="K33" s="198"/>
      <c r="L33" s="195"/>
      <c r="M33" s="196"/>
      <c r="N33" s="192"/>
      <c r="O33" s="198"/>
      <c r="P33" s="196"/>
      <c r="Q33" s="196"/>
      <c r="R33" s="199"/>
      <c r="S33" s="91"/>
      <c r="T33" s="23" t="s">
        <v>247</v>
      </c>
      <c r="U33" s="23"/>
      <c r="V33" s="46" t="s">
        <v>72</v>
      </c>
      <c r="W33" s="339"/>
    </row>
    <row r="34" spans="1:23" ht="21" customHeight="1" x14ac:dyDescent="0.25">
      <c r="A34" s="1"/>
      <c r="B34" s="10" t="s">
        <v>47</v>
      </c>
      <c r="C34" s="2"/>
      <c r="D34" s="3" t="s">
        <v>10</v>
      </c>
      <c r="E34" s="4"/>
      <c r="F34" s="2"/>
      <c r="G34" s="7">
        <v>1000000</v>
      </c>
      <c r="H34" s="265">
        <f>G34</f>
        <v>1000000</v>
      </c>
      <c r="I34" s="77"/>
      <c r="J34" s="269">
        <f>G34-H34</f>
        <v>0</v>
      </c>
      <c r="K34" s="200"/>
      <c r="L34" s="201"/>
      <c r="M34" s="202"/>
      <c r="N34" s="192"/>
      <c r="O34" s="200"/>
      <c r="P34" s="202"/>
      <c r="Q34" s="202"/>
      <c r="R34" s="199"/>
      <c r="S34" s="92"/>
      <c r="T34" s="12" t="s">
        <v>49</v>
      </c>
      <c r="U34" s="12"/>
      <c r="V34" s="44" t="s">
        <v>72</v>
      </c>
      <c r="W34" s="339"/>
    </row>
    <row r="35" spans="1:23" ht="23.45" customHeight="1" x14ac:dyDescent="0.25">
      <c r="A35" s="259" t="s">
        <v>125</v>
      </c>
      <c r="B35" s="10" t="s">
        <v>48</v>
      </c>
      <c r="C35" s="2"/>
      <c r="D35" s="3"/>
      <c r="E35" s="4"/>
      <c r="F35" s="2" t="s">
        <v>7</v>
      </c>
      <c r="G35" s="207"/>
      <c r="H35" s="201"/>
      <c r="I35" s="202"/>
      <c r="J35" s="192"/>
      <c r="K35" s="200"/>
      <c r="L35" s="201"/>
      <c r="M35" s="202"/>
      <c r="N35" s="192"/>
      <c r="O35" s="5">
        <v>4000000</v>
      </c>
      <c r="P35" s="77">
        <f>'Részletező táblázat'!N49</f>
        <v>3759200</v>
      </c>
      <c r="Q35" s="77">
        <f>'Részletező táblázat'!O49</f>
        <v>3759200</v>
      </c>
      <c r="R35" s="299" t="s">
        <v>127</v>
      </c>
      <c r="S35" s="92"/>
      <c r="T35" s="12" t="s">
        <v>50</v>
      </c>
      <c r="U35" s="12" t="s">
        <v>51</v>
      </c>
      <c r="V35" s="44" t="s">
        <v>72</v>
      </c>
      <c r="W35" s="339"/>
    </row>
    <row r="36" spans="1:23" ht="90" x14ac:dyDescent="0.25">
      <c r="A36" s="1" t="s">
        <v>229</v>
      </c>
      <c r="B36" s="10" t="s">
        <v>83</v>
      </c>
      <c r="C36" s="2"/>
      <c r="D36" s="3" t="s">
        <v>7</v>
      </c>
      <c r="E36" s="4"/>
      <c r="F36" s="2"/>
      <c r="G36" s="421">
        <f>2540000+381000</f>
        <v>2921000</v>
      </c>
      <c r="H36" s="8">
        <v>2921000</v>
      </c>
      <c r="I36" s="77"/>
      <c r="J36" s="429">
        <f>G36-H36</f>
        <v>0</v>
      </c>
      <c r="K36" s="200"/>
      <c r="L36" s="201"/>
      <c r="M36" s="202"/>
      <c r="N36" s="192"/>
      <c r="O36" s="200"/>
      <c r="P36" s="202"/>
      <c r="Q36" s="202"/>
      <c r="R36" s="199"/>
      <c r="S36" s="92"/>
      <c r="T36" s="23" t="s">
        <v>247</v>
      </c>
      <c r="U36" s="12" t="s">
        <v>52</v>
      </c>
      <c r="V36" s="44" t="s">
        <v>72</v>
      </c>
      <c r="W36" s="339"/>
    </row>
    <row r="37" spans="1:23" x14ac:dyDescent="0.25">
      <c r="A37" s="1"/>
      <c r="B37" s="13" t="s">
        <v>84</v>
      </c>
      <c r="C37" s="2"/>
      <c r="D37" s="3" t="s">
        <v>7</v>
      </c>
      <c r="E37" s="4"/>
      <c r="F37" s="2"/>
      <c r="G37" s="7">
        <v>-2540000</v>
      </c>
      <c r="H37" s="8">
        <v>-2540000</v>
      </c>
      <c r="I37" s="77"/>
      <c r="J37" s="20"/>
      <c r="K37" s="200"/>
      <c r="L37" s="201"/>
      <c r="M37" s="202"/>
      <c r="N37" s="192"/>
      <c r="O37" s="200"/>
      <c r="P37" s="202"/>
      <c r="Q37" s="202"/>
      <c r="R37" s="199"/>
      <c r="S37" s="92"/>
      <c r="T37" s="12"/>
      <c r="U37" s="12"/>
      <c r="V37" s="44"/>
      <c r="W37" s="339"/>
    </row>
    <row r="38" spans="1:23" ht="48" x14ac:dyDescent="0.25">
      <c r="A38" s="404" t="s">
        <v>221</v>
      </c>
      <c r="B38" s="10" t="s">
        <v>85</v>
      </c>
      <c r="C38" s="2"/>
      <c r="D38" s="3"/>
      <c r="E38" s="4"/>
      <c r="F38" s="2"/>
      <c r="G38" s="7">
        <v>10000000</v>
      </c>
      <c r="H38" s="265">
        <v>10000000</v>
      </c>
      <c r="I38" s="77"/>
      <c r="J38" s="20">
        <f>G38-H38</f>
        <v>0</v>
      </c>
      <c r="K38" s="200"/>
      <c r="L38" s="201"/>
      <c r="M38" s="202"/>
      <c r="N38" s="192"/>
      <c r="O38" s="200"/>
      <c r="P38" s="202"/>
      <c r="Q38" s="202"/>
      <c r="R38" s="199"/>
      <c r="S38" s="92"/>
      <c r="T38" s="12" t="s">
        <v>53</v>
      </c>
      <c r="U38" s="12"/>
      <c r="V38" s="44" t="s">
        <v>72</v>
      </c>
      <c r="W38" s="339"/>
    </row>
    <row r="39" spans="1:23" ht="22.9" customHeight="1" x14ac:dyDescent="0.25">
      <c r="A39" s="1"/>
      <c r="B39" s="10" t="s">
        <v>54</v>
      </c>
      <c r="C39" s="2"/>
      <c r="D39" s="3" t="s">
        <v>7</v>
      </c>
      <c r="E39" s="4"/>
      <c r="F39" s="2"/>
      <c r="G39" s="7">
        <v>3000000</v>
      </c>
      <c r="H39" s="265">
        <f>G39</f>
        <v>3000000</v>
      </c>
      <c r="I39" s="77"/>
      <c r="J39" s="20">
        <f>G39-H39</f>
        <v>0</v>
      </c>
      <c r="K39" s="200"/>
      <c r="L39" s="201"/>
      <c r="M39" s="202"/>
      <c r="N39" s="192"/>
      <c r="O39" s="200"/>
      <c r="P39" s="202"/>
      <c r="Q39" s="202"/>
      <c r="R39" s="199"/>
      <c r="S39" s="92"/>
      <c r="T39" s="12" t="s">
        <v>53</v>
      </c>
      <c r="U39" s="12"/>
      <c r="V39" s="44" t="s">
        <v>72</v>
      </c>
      <c r="W39" s="339"/>
    </row>
    <row r="40" spans="1:23" ht="27" customHeight="1" x14ac:dyDescent="0.25">
      <c r="A40" s="1"/>
      <c r="B40" s="10" t="s">
        <v>55</v>
      </c>
      <c r="C40" s="2"/>
      <c r="D40" s="3" t="s">
        <v>7</v>
      </c>
      <c r="E40" s="4"/>
      <c r="F40" s="2"/>
      <c r="G40" s="7">
        <v>2000000</v>
      </c>
      <c r="H40" s="265">
        <f t="shared" ref="H40:H42" si="9">G40</f>
        <v>2000000</v>
      </c>
      <c r="I40" s="77"/>
      <c r="J40" s="20">
        <f>G40-H40</f>
        <v>0</v>
      </c>
      <c r="K40" s="200"/>
      <c r="L40" s="201"/>
      <c r="M40" s="202"/>
      <c r="N40" s="192"/>
      <c r="O40" s="200"/>
      <c r="P40" s="202"/>
      <c r="Q40" s="202"/>
      <c r="R40" s="199"/>
      <c r="S40" s="92"/>
      <c r="T40" s="12" t="s">
        <v>53</v>
      </c>
      <c r="U40" s="12"/>
      <c r="V40" s="44" t="s">
        <v>72</v>
      </c>
      <c r="W40" s="339"/>
    </row>
    <row r="41" spans="1:23" ht="30" customHeight="1" x14ac:dyDescent="0.25">
      <c r="A41" s="1"/>
      <c r="B41" s="10" t="s">
        <v>56</v>
      </c>
      <c r="C41" s="2"/>
      <c r="D41" s="3" t="s">
        <v>7</v>
      </c>
      <c r="E41" s="4"/>
      <c r="F41" s="2"/>
      <c r="G41" s="7">
        <v>1500000</v>
      </c>
      <c r="H41" s="265">
        <f t="shared" si="9"/>
        <v>1500000</v>
      </c>
      <c r="I41" s="77"/>
      <c r="J41" s="20">
        <f>G41-H41</f>
        <v>0</v>
      </c>
      <c r="K41" s="200"/>
      <c r="L41" s="201"/>
      <c r="M41" s="202"/>
      <c r="N41" s="192"/>
      <c r="O41" s="200"/>
      <c r="P41" s="202"/>
      <c r="Q41" s="202"/>
      <c r="R41" s="199"/>
      <c r="S41" s="92"/>
      <c r="T41" s="12" t="s">
        <v>57</v>
      </c>
      <c r="U41" s="12" t="s">
        <v>95</v>
      </c>
      <c r="V41" s="44" t="s">
        <v>72</v>
      </c>
      <c r="W41" s="339"/>
    </row>
    <row r="42" spans="1:23" ht="33.6" customHeight="1" thickBot="1" x14ac:dyDescent="0.3">
      <c r="A42" s="42"/>
      <c r="B42" s="43" t="s">
        <v>86</v>
      </c>
      <c r="C42" s="34"/>
      <c r="D42" s="35" t="s">
        <v>7</v>
      </c>
      <c r="E42" s="36"/>
      <c r="F42" s="34"/>
      <c r="G42" s="37">
        <v>1000000</v>
      </c>
      <c r="H42" s="265">
        <f t="shared" si="9"/>
        <v>1000000</v>
      </c>
      <c r="I42" s="80"/>
      <c r="J42" s="20">
        <f>G42-H42</f>
        <v>0</v>
      </c>
      <c r="K42" s="203"/>
      <c r="L42" s="204"/>
      <c r="M42" s="205"/>
      <c r="N42" s="192"/>
      <c r="O42" s="203"/>
      <c r="P42" s="205"/>
      <c r="Q42" s="205"/>
      <c r="R42" s="199"/>
      <c r="S42" s="93"/>
      <c r="T42" s="39" t="s">
        <v>57</v>
      </c>
      <c r="U42" s="39"/>
      <c r="V42" s="56" t="s">
        <v>72</v>
      </c>
      <c r="W42" s="339"/>
    </row>
    <row r="43" spans="1:23" s="15" customFormat="1" ht="16.5" thickBot="1" x14ac:dyDescent="0.3">
      <c r="A43" s="81" t="s">
        <v>2</v>
      </c>
      <c r="B43" s="104"/>
      <c r="C43" s="81"/>
      <c r="D43" s="81"/>
      <c r="E43" s="81"/>
      <c r="F43" s="81"/>
      <c r="G43" s="61">
        <f>SUM(G33:G42)</f>
        <v>38381000</v>
      </c>
      <c r="H43" s="61">
        <f>SUM(H33:H42)</f>
        <v>38381000</v>
      </c>
      <c r="I43" s="362">
        <f t="shared" ref="I43:K43" si="10">SUM(I33:I42)</f>
        <v>19500000</v>
      </c>
      <c r="J43" s="274">
        <f>SUM(J33:J42)</f>
        <v>0</v>
      </c>
      <c r="K43" s="61">
        <f t="shared" si="10"/>
        <v>0</v>
      </c>
      <c r="L43" s="61">
        <f t="shared" ref="L43" si="11">SUM(L33:L42)</f>
        <v>0</v>
      </c>
      <c r="M43" s="362">
        <f t="shared" ref="M43" si="12">SUM(M33:M42)</f>
        <v>0</v>
      </c>
      <c r="N43" s="274">
        <f>K43-L43</f>
        <v>0</v>
      </c>
      <c r="O43" s="61">
        <f t="shared" ref="O43" si="13">SUM(O33:O42)</f>
        <v>4000000</v>
      </c>
      <c r="P43" s="61">
        <f t="shared" ref="P43" si="14">SUM(P33:P42)</f>
        <v>3759200</v>
      </c>
      <c r="Q43" s="362">
        <f t="shared" ref="Q43" si="15">SUM(Q33:Q42)</f>
        <v>3759200</v>
      </c>
      <c r="R43" s="309">
        <f>SUM(R33:R42)</f>
        <v>0</v>
      </c>
      <c r="S43" s="99"/>
      <c r="T43" s="105"/>
      <c r="U43" s="105"/>
      <c r="V43" s="105"/>
      <c r="W43" s="339"/>
    </row>
    <row r="44" spans="1:23" ht="29.25" customHeight="1" thickBot="1" x14ac:dyDescent="0.3">
      <c r="A44" s="460" t="s">
        <v>23</v>
      </c>
      <c r="B44" s="460"/>
      <c r="C44" s="236"/>
      <c r="D44" s="236"/>
      <c r="E44" s="236"/>
      <c r="F44" s="236"/>
      <c r="G44" s="485"/>
      <c r="H44" s="486"/>
      <c r="I44" s="486"/>
      <c r="J44" s="487"/>
      <c r="K44" s="485"/>
      <c r="L44" s="486"/>
      <c r="M44" s="486"/>
      <c r="N44" s="487"/>
      <c r="O44" s="485"/>
      <c r="P44" s="486"/>
      <c r="Q44" s="486"/>
      <c r="R44" s="487"/>
      <c r="S44" s="249"/>
      <c r="T44" s="250"/>
      <c r="U44" s="250"/>
      <c r="V44" s="251"/>
      <c r="W44" s="339"/>
    </row>
    <row r="45" spans="1:23" ht="45" customHeight="1" x14ac:dyDescent="0.2">
      <c r="A45" s="455" t="s">
        <v>24</v>
      </c>
      <c r="B45" s="456"/>
      <c r="C45" s="17"/>
      <c r="D45" s="18"/>
      <c r="E45" s="19"/>
      <c r="F45" s="17"/>
      <c r="G45" s="457"/>
      <c r="H45" s="458"/>
      <c r="I45" s="458"/>
      <c r="J45" s="459"/>
      <c r="K45" s="457"/>
      <c r="L45" s="458"/>
      <c r="M45" s="458"/>
      <c r="N45" s="459"/>
      <c r="O45" s="457"/>
      <c r="P45" s="458"/>
      <c r="Q45" s="458"/>
      <c r="R45" s="459"/>
      <c r="S45" s="91"/>
      <c r="T45" s="23"/>
      <c r="U45" s="23"/>
      <c r="V45" s="103"/>
      <c r="W45" s="339"/>
    </row>
    <row r="46" spans="1:23" ht="21" customHeight="1" x14ac:dyDescent="0.25">
      <c r="A46" s="48"/>
      <c r="B46" s="11" t="s">
        <v>25</v>
      </c>
      <c r="C46" s="2"/>
      <c r="D46" s="3" t="s">
        <v>7</v>
      </c>
      <c r="E46" s="4"/>
      <c r="F46" s="2"/>
      <c r="G46" s="7">
        <v>429000</v>
      </c>
      <c r="H46" s="265">
        <f>G46</f>
        <v>429000</v>
      </c>
      <c r="I46" s="77"/>
      <c r="J46" s="6">
        <f t="shared" ref="J46:J53" si="16">G46-H46</f>
        <v>0</v>
      </c>
      <c r="K46" s="200"/>
      <c r="L46" s="201"/>
      <c r="M46" s="202"/>
      <c r="N46" s="197"/>
      <c r="O46" s="200"/>
      <c r="P46" s="202"/>
      <c r="Q46" s="202"/>
      <c r="R46" s="210"/>
      <c r="S46" s="92" t="s">
        <v>26</v>
      </c>
      <c r="T46" s="12" t="s">
        <v>27</v>
      </c>
      <c r="U46" s="12" t="s">
        <v>96</v>
      </c>
      <c r="V46" s="44" t="s">
        <v>72</v>
      </c>
      <c r="W46" s="339"/>
    </row>
    <row r="47" spans="1:23" ht="22.15" customHeight="1" x14ac:dyDescent="0.25">
      <c r="A47" s="48"/>
      <c r="B47" s="11" t="s">
        <v>28</v>
      </c>
      <c r="C47" s="2"/>
      <c r="D47" s="3" t="s">
        <v>7</v>
      </c>
      <c r="E47" s="4"/>
      <c r="F47" s="2"/>
      <c r="G47" s="7">
        <v>317000</v>
      </c>
      <c r="H47" s="265">
        <f t="shared" ref="H47:H48" si="17">G47</f>
        <v>317000</v>
      </c>
      <c r="I47" s="77"/>
      <c r="J47" s="6">
        <f t="shared" si="16"/>
        <v>0</v>
      </c>
      <c r="K47" s="200"/>
      <c r="L47" s="201"/>
      <c r="M47" s="202"/>
      <c r="N47" s="197"/>
      <c r="O47" s="200"/>
      <c r="P47" s="202"/>
      <c r="Q47" s="202"/>
      <c r="R47" s="210"/>
      <c r="S47" s="92" t="s">
        <v>26</v>
      </c>
      <c r="T47" s="12" t="s">
        <v>27</v>
      </c>
      <c r="U47" s="12" t="s">
        <v>96</v>
      </c>
      <c r="V47" s="44" t="s">
        <v>72</v>
      </c>
      <c r="W47" s="339"/>
    </row>
    <row r="48" spans="1:23" ht="21" customHeight="1" x14ac:dyDescent="0.25">
      <c r="A48" s="48"/>
      <c r="B48" s="11" t="s">
        <v>29</v>
      </c>
      <c r="C48" s="2"/>
      <c r="D48" s="3" t="s">
        <v>7</v>
      </c>
      <c r="E48" s="4"/>
      <c r="F48" s="2"/>
      <c r="G48" s="7">
        <v>317000</v>
      </c>
      <c r="H48" s="265">
        <f t="shared" si="17"/>
        <v>317000</v>
      </c>
      <c r="I48" s="77"/>
      <c r="J48" s="6">
        <f t="shared" si="16"/>
        <v>0</v>
      </c>
      <c r="K48" s="200"/>
      <c r="L48" s="201"/>
      <c r="M48" s="202"/>
      <c r="N48" s="197"/>
      <c r="O48" s="200"/>
      <c r="P48" s="202"/>
      <c r="Q48" s="202"/>
      <c r="R48" s="210"/>
      <c r="S48" s="92" t="s">
        <v>26</v>
      </c>
      <c r="T48" s="12" t="s">
        <v>27</v>
      </c>
      <c r="U48" s="12" t="s">
        <v>97</v>
      </c>
      <c r="V48" s="44" t="s">
        <v>72</v>
      </c>
      <c r="W48" s="339"/>
    </row>
    <row r="49" spans="1:25" ht="37.15" customHeight="1" x14ac:dyDescent="0.25">
      <c r="A49" s="259" t="s">
        <v>125</v>
      </c>
      <c r="B49" s="257" t="s">
        <v>128</v>
      </c>
      <c r="C49" s="2"/>
      <c r="D49" s="3" t="s">
        <v>7</v>
      </c>
      <c r="E49" s="4"/>
      <c r="F49" s="2"/>
      <c r="G49" s="418">
        <f>1140000+184671</f>
        <v>1324671</v>
      </c>
      <c r="H49" s="287">
        <f>'Részletező táblázat'!H65</f>
        <v>1324671</v>
      </c>
      <c r="I49" s="77">
        <f>'Részletező táblázat'!I65</f>
        <v>1324671</v>
      </c>
      <c r="J49" s="431">
        <f t="shared" si="16"/>
        <v>0</v>
      </c>
      <c r="K49" s="200"/>
      <c r="L49" s="201"/>
      <c r="M49" s="202"/>
      <c r="N49" s="197"/>
      <c r="O49" s="200"/>
      <c r="P49" s="202"/>
      <c r="Q49" s="202"/>
      <c r="R49" s="210"/>
      <c r="S49" s="92" t="s">
        <v>26</v>
      </c>
      <c r="T49" s="12" t="s">
        <v>27</v>
      </c>
      <c r="U49" s="12" t="s">
        <v>98</v>
      </c>
      <c r="V49" s="44" t="s">
        <v>72</v>
      </c>
      <c r="W49" s="339"/>
      <c r="X49" s="188"/>
      <c r="Y49" s="188"/>
    </row>
    <row r="50" spans="1:25" ht="23.45" customHeight="1" x14ac:dyDescent="0.25">
      <c r="A50" s="1"/>
      <c r="B50" s="11" t="s">
        <v>30</v>
      </c>
      <c r="C50" s="2"/>
      <c r="D50" s="3" t="s">
        <v>7</v>
      </c>
      <c r="E50" s="4"/>
      <c r="F50" s="2"/>
      <c r="G50" s="7">
        <v>1958000</v>
      </c>
      <c r="H50" s="287">
        <f>'Részletező táblázat'!H66</f>
        <v>2553274</v>
      </c>
      <c r="I50" s="77">
        <f>'Részletező táblázat'!I66</f>
        <v>2553274</v>
      </c>
      <c r="J50" s="451">
        <f t="shared" si="16"/>
        <v>-595274</v>
      </c>
      <c r="K50" s="200"/>
      <c r="L50" s="201"/>
      <c r="M50" s="202"/>
      <c r="N50" s="197"/>
      <c r="O50" s="200"/>
      <c r="P50" s="202"/>
      <c r="Q50" s="202"/>
      <c r="R50" s="210"/>
      <c r="S50" s="446" t="s">
        <v>31</v>
      </c>
      <c r="T50" s="12" t="s">
        <v>27</v>
      </c>
      <c r="U50" s="12"/>
      <c r="V50" s="44" t="s">
        <v>72</v>
      </c>
      <c r="W50" s="339"/>
    </row>
    <row r="51" spans="1:25" ht="23.45" customHeight="1" x14ac:dyDescent="0.25">
      <c r="A51" s="1"/>
      <c r="B51" s="11" t="s">
        <v>32</v>
      </c>
      <c r="C51" s="2"/>
      <c r="D51" s="3" t="s">
        <v>7</v>
      </c>
      <c r="E51" s="4"/>
      <c r="F51" s="2"/>
      <c r="G51" s="7">
        <v>3656000</v>
      </c>
      <c r="H51" s="287">
        <f>'Részletező táblázat'!H67</f>
        <v>3124051</v>
      </c>
      <c r="I51" s="77">
        <f>'Részletező táblázat'!I67</f>
        <v>3124051</v>
      </c>
      <c r="J51" s="452">
        <f t="shared" si="16"/>
        <v>531949</v>
      </c>
      <c r="K51" s="200"/>
      <c r="L51" s="201"/>
      <c r="M51" s="202"/>
      <c r="N51" s="197"/>
      <c r="O51" s="200"/>
      <c r="P51" s="202"/>
      <c r="Q51" s="202"/>
      <c r="R51" s="210"/>
      <c r="S51" s="446" t="s">
        <v>31</v>
      </c>
      <c r="T51" s="12" t="s">
        <v>27</v>
      </c>
      <c r="U51" s="12"/>
      <c r="V51" s="44" t="s">
        <v>72</v>
      </c>
      <c r="W51" s="339"/>
    </row>
    <row r="52" spans="1:25" ht="22.9" customHeight="1" x14ac:dyDescent="0.25">
      <c r="A52" s="1"/>
      <c r="B52" s="11" t="s">
        <v>87</v>
      </c>
      <c r="C52" s="2"/>
      <c r="D52" s="3" t="s">
        <v>7</v>
      </c>
      <c r="E52" s="4"/>
      <c r="F52" s="2"/>
      <c r="G52" s="7">
        <v>2186000</v>
      </c>
      <c r="H52" s="265">
        <f t="shared" ref="H52:H53" si="18">G52</f>
        <v>2186000</v>
      </c>
      <c r="I52" s="77"/>
      <c r="J52" s="6">
        <f t="shared" si="16"/>
        <v>0</v>
      </c>
      <c r="K52" s="200"/>
      <c r="L52" s="201"/>
      <c r="M52" s="202"/>
      <c r="N52" s="197"/>
      <c r="O52" s="200"/>
      <c r="P52" s="202"/>
      <c r="Q52" s="202"/>
      <c r="R52" s="210"/>
      <c r="S52" s="92" t="s">
        <v>26</v>
      </c>
      <c r="T52" s="12" t="s">
        <v>27</v>
      </c>
      <c r="U52" s="12" t="s">
        <v>99</v>
      </c>
      <c r="V52" s="44" t="s">
        <v>72</v>
      </c>
      <c r="W52" s="339"/>
    </row>
    <row r="53" spans="1:25" ht="21.6" customHeight="1" x14ac:dyDescent="0.25">
      <c r="A53" s="1"/>
      <c r="B53" s="11" t="s">
        <v>33</v>
      </c>
      <c r="C53" s="2"/>
      <c r="D53" s="3" t="s">
        <v>7</v>
      </c>
      <c r="E53" s="4"/>
      <c r="F53" s="2"/>
      <c r="G53" s="7">
        <v>2716000</v>
      </c>
      <c r="H53" s="265">
        <f t="shared" si="18"/>
        <v>2716000</v>
      </c>
      <c r="I53" s="77"/>
      <c r="J53" s="6">
        <f t="shared" si="16"/>
        <v>0</v>
      </c>
      <c r="K53" s="200"/>
      <c r="L53" s="201"/>
      <c r="M53" s="202"/>
      <c r="N53" s="197"/>
      <c r="O53" s="200"/>
      <c r="P53" s="202"/>
      <c r="Q53" s="202"/>
      <c r="R53" s="210"/>
      <c r="S53" s="92" t="s">
        <v>26</v>
      </c>
      <c r="T53" s="12" t="s">
        <v>27</v>
      </c>
      <c r="U53" s="12" t="s">
        <v>96</v>
      </c>
      <c r="V53" s="44" t="s">
        <v>72</v>
      </c>
      <c r="W53" s="339"/>
    </row>
    <row r="54" spans="1:25" ht="18.600000000000001" customHeight="1" x14ac:dyDescent="0.25">
      <c r="A54" s="1"/>
      <c r="B54" s="10" t="s">
        <v>34</v>
      </c>
      <c r="C54" s="2"/>
      <c r="D54" s="3"/>
      <c r="E54" s="4"/>
      <c r="F54" s="2" t="s">
        <v>7</v>
      </c>
      <c r="G54" s="207"/>
      <c r="H54" s="201"/>
      <c r="I54" s="202"/>
      <c r="J54" s="197"/>
      <c r="K54" s="200"/>
      <c r="L54" s="201"/>
      <c r="M54" s="202"/>
      <c r="N54" s="197"/>
      <c r="O54" s="5">
        <v>219000</v>
      </c>
      <c r="P54" s="288">
        <f>'Részletező táblázat'!N70</f>
        <v>72107</v>
      </c>
      <c r="Q54" s="77">
        <f>'Részletező táblázat'!O70</f>
        <v>72107</v>
      </c>
      <c r="R54" s="453">
        <f>O54-P54</f>
        <v>146893</v>
      </c>
      <c r="S54" s="446" t="s">
        <v>31</v>
      </c>
      <c r="T54" s="12" t="s">
        <v>27</v>
      </c>
      <c r="U54" s="12"/>
      <c r="V54" s="44" t="s">
        <v>72</v>
      </c>
      <c r="W54" s="339"/>
    </row>
    <row r="55" spans="1:25" ht="22.9" customHeight="1" x14ac:dyDescent="0.25">
      <c r="A55" s="1"/>
      <c r="B55" s="10" t="s">
        <v>35</v>
      </c>
      <c r="C55" s="2"/>
      <c r="D55" s="3" t="s">
        <v>7</v>
      </c>
      <c r="E55" s="4"/>
      <c r="F55" s="2"/>
      <c r="G55" s="7">
        <v>1000000</v>
      </c>
      <c r="H55" s="265">
        <f>G55</f>
        <v>1000000</v>
      </c>
      <c r="I55" s="77"/>
      <c r="J55" s="6">
        <f>G55-H55</f>
        <v>0</v>
      </c>
      <c r="K55" s="200"/>
      <c r="L55" s="201"/>
      <c r="M55" s="202"/>
      <c r="N55" s="197"/>
      <c r="O55" s="200"/>
      <c r="P55" s="202"/>
      <c r="Q55" s="202"/>
      <c r="R55" s="210"/>
      <c r="S55" s="92" t="s">
        <v>26</v>
      </c>
      <c r="T55" s="12" t="s">
        <v>27</v>
      </c>
      <c r="U55" s="12" t="s">
        <v>96</v>
      </c>
      <c r="V55" s="44" t="s">
        <v>72</v>
      </c>
      <c r="W55" s="339"/>
    </row>
    <row r="56" spans="1:25" ht="22.15" customHeight="1" x14ac:dyDescent="0.25">
      <c r="A56" s="1"/>
      <c r="B56" s="10" t="s">
        <v>36</v>
      </c>
      <c r="C56" s="2"/>
      <c r="D56" s="3"/>
      <c r="E56" s="4"/>
      <c r="F56" s="2" t="s">
        <v>7</v>
      </c>
      <c r="G56" s="207"/>
      <c r="H56" s="201"/>
      <c r="I56" s="202"/>
      <c r="J56" s="197"/>
      <c r="K56" s="200"/>
      <c r="L56" s="201"/>
      <c r="M56" s="202"/>
      <c r="N56" s="197"/>
      <c r="O56" s="5">
        <v>1000000</v>
      </c>
      <c r="P56" s="288">
        <f>'Részletező táblázat'!N72</f>
        <v>254472</v>
      </c>
      <c r="Q56" s="77">
        <f>'Részletező táblázat'!O72</f>
        <v>254472</v>
      </c>
      <c r="R56" s="453">
        <f>O56-P56</f>
        <v>745528</v>
      </c>
      <c r="S56" s="446" t="s">
        <v>31</v>
      </c>
      <c r="T56" s="12" t="s">
        <v>27</v>
      </c>
      <c r="U56" s="12"/>
      <c r="V56" s="44" t="s">
        <v>72</v>
      </c>
      <c r="W56" s="339"/>
    </row>
    <row r="57" spans="1:25" ht="20.45" customHeight="1" x14ac:dyDescent="0.25">
      <c r="A57" s="1"/>
      <c r="B57" s="10" t="s">
        <v>37</v>
      </c>
      <c r="C57" s="2"/>
      <c r="D57" s="3" t="s">
        <v>7</v>
      </c>
      <c r="E57" s="4"/>
      <c r="F57" s="2"/>
      <c r="G57" s="7">
        <v>800000</v>
      </c>
      <c r="H57" s="287">
        <f>'Részletező táblázat'!H73</f>
        <v>837194</v>
      </c>
      <c r="I57" s="288">
        <f>'Részletező táblázat'!I73</f>
        <v>837194</v>
      </c>
      <c r="J57" s="451">
        <f>G57-H57</f>
        <v>-37194</v>
      </c>
      <c r="K57" s="200"/>
      <c r="L57" s="201"/>
      <c r="M57" s="202"/>
      <c r="N57" s="197"/>
      <c r="O57" s="200"/>
      <c r="P57" s="202"/>
      <c r="Q57" s="202"/>
      <c r="R57" s="210"/>
      <c r="S57" s="92" t="s">
        <v>26</v>
      </c>
      <c r="T57" s="12" t="s">
        <v>27</v>
      </c>
      <c r="U57" s="12" t="s">
        <v>97</v>
      </c>
      <c r="V57" s="44" t="s">
        <v>72</v>
      </c>
      <c r="W57" s="339"/>
    </row>
    <row r="58" spans="1:25" ht="21.6" customHeight="1" x14ac:dyDescent="0.25">
      <c r="A58" s="1"/>
      <c r="B58" s="10" t="s">
        <v>38</v>
      </c>
      <c r="C58" s="2"/>
      <c r="D58" s="3"/>
      <c r="E58" s="4"/>
      <c r="F58" s="2" t="s">
        <v>7</v>
      </c>
      <c r="G58" s="207"/>
      <c r="H58" s="201"/>
      <c r="I58" s="202"/>
      <c r="J58" s="197"/>
      <c r="K58" s="200"/>
      <c r="L58" s="201"/>
      <c r="M58" s="202"/>
      <c r="N58" s="197"/>
      <c r="O58" s="5">
        <v>1000000</v>
      </c>
      <c r="P58" s="288">
        <f>'Részletező táblázat'!N74</f>
        <v>443620</v>
      </c>
      <c r="Q58" s="77">
        <f>'Részletező táblázat'!O74</f>
        <v>443620</v>
      </c>
      <c r="R58" s="453">
        <f t="shared" ref="R58:R63" si="19">O58-P58</f>
        <v>556380</v>
      </c>
      <c r="S58" s="446" t="s">
        <v>31</v>
      </c>
      <c r="T58" s="12" t="s">
        <v>27</v>
      </c>
      <c r="U58" s="12"/>
      <c r="V58" s="44" t="s">
        <v>72</v>
      </c>
      <c r="W58" s="339"/>
    </row>
    <row r="59" spans="1:25" ht="19.899999999999999" customHeight="1" x14ac:dyDescent="0.25">
      <c r="A59" s="1"/>
      <c r="B59" s="10" t="s">
        <v>88</v>
      </c>
      <c r="C59" s="2"/>
      <c r="D59" s="3"/>
      <c r="E59" s="4"/>
      <c r="F59" s="2" t="s">
        <v>7</v>
      </c>
      <c r="G59" s="207"/>
      <c r="H59" s="201"/>
      <c r="I59" s="202"/>
      <c r="J59" s="197"/>
      <c r="K59" s="200"/>
      <c r="L59" s="201"/>
      <c r="M59" s="202"/>
      <c r="N59" s="197"/>
      <c r="O59" s="5">
        <v>1500000</v>
      </c>
      <c r="P59" s="267">
        <f t="shared" ref="P59:P62" si="20">O59</f>
        <v>1500000</v>
      </c>
      <c r="Q59" s="77"/>
      <c r="R59" s="76">
        <f t="shared" si="19"/>
        <v>0</v>
      </c>
      <c r="S59" s="446" t="s">
        <v>31</v>
      </c>
      <c r="T59" s="12" t="s">
        <v>27</v>
      </c>
      <c r="U59" s="12"/>
      <c r="V59" s="44" t="s">
        <v>72</v>
      </c>
      <c r="W59" s="339"/>
    </row>
    <row r="60" spans="1:25" ht="28.15" customHeight="1" x14ac:dyDescent="0.25">
      <c r="A60" s="1"/>
      <c r="B60" s="10" t="s">
        <v>39</v>
      </c>
      <c r="C60" s="2"/>
      <c r="D60" s="3"/>
      <c r="E60" s="4"/>
      <c r="F60" s="2" t="s">
        <v>7</v>
      </c>
      <c r="G60" s="207"/>
      <c r="H60" s="201"/>
      <c r="I60" s="202"/>
      <c r="J60" s="197"/>
      <c r="K60" s="200"/>
      <c r="L60" s="201"/>
      <c r="M60" s="202"/>
      <c r="N60" s="197"/>
      <c r="O60" s="5">
        <v>300000</v>
      </c>
      <c r="P60" s="288">
        <f>'Részletező táblázat'!N76</f>
        <v>304800</v>
      </c>
      <c r="Q60" s="77">
        <f>'Részletező táblázat'!O76</f>
        <v>304800</v>
      </c>
      <c r="R60" s="454">
        <f t="shared" si="19"/>
        <v>-4800</v>
      </c>
      <c r="S60" s="446" t="s">
        <v>31</v>
      </c>
      <c r="T60" s="12" t="s">
        <v>27</v>
      </c>
      <c r="U60" s="12"/>
      <c r="V60" s="44" t="s">
        <v>72</v>
      </c>
      <c r="W60" s="339"/>
    </row>
    <row r="61" spans="1:25" ht="27.6" customHeight="1" x14ac:dyDescent="0.25">
      <c r="A61" s="1"/>
      <c r="B61" s="10" t="s">
        <v>40</v>
      </c>
      <c r="C61" s="2"/>
      <c r="D61" s="3"/>
      <c r="E61" s="4"/>
      <c r="F61" s="2" t="s">
        <v>7</v>
      </c>
      <c r="G61" s="207"/>
      <c r="H61" s="201"/>
      <c r="I61" s="202"/>
      <c r="J61" s="197"/>
      <c r="K61" s="200"/>
      <c r="L61" s="201"/>
      <c r="M61" s="202"/>
      <c r="N61" s="197"/>
      <c r="O61" s="5">
        <v>350000</v>
      </c>
      <c r="P61" s="288">
        <f>'Részletező táblázat'!N77</f>
        <v>902970</v>
      </c>
      <c r="Q61" s="77">
        <f>'Részletező táblázat'!O77</f>
        <v>902970</v>
      </c>
      <c r="R61" s="454">
        <f t="shared" si="19"/>
        <v>-552970</v>
      </c>
      <c r="S61" s="446" t="s">
        <v>31</v>
      </c>
      <c r="T61" s="12" t="s">
        <v>27</v>
      </c>
      <c r="U61" s="12"/>
      <c r="V61" s="44" t="s">
        <v>72</v>
      </c>
      <c r="W61" s="339"/>
    </row>
    <row r="62" spans="1:25" ht="24" customHeight="1" x14ac:dyDescent="0.25">
      <c r="A62" s="1"/>
      <c r="B62" s="10" t="s">
        <v>41</v>
      </c>
      <c r="C62" s="2"/>
      <c r="D62" s="3"/>
      <c r="E62" s="4"/>
      <c r="F62" s="2" t="s">
        <v>7</v>
      </c>
      <c r="G62" s="207"/>
      <c r="H62" s="201"/>
      <c r="I62" s="202"/>
      <c r="J62" s="197"/>
      <c r="K62" s="200"/>
      <c r="L62" s="201"/>
      <c r="M62" s="202"/>
      <c r="N62" s="197"/>
      <c r="O62" s="5">
        <v>350000</v>
      </c>
      <c r="P62" s="267">
        <f t="shared" si="20"/>
        <v>350000</v>
      </c>
      <c r="Q62" s="77"/>
      <c r="R62" s="76">
        <f t="shared" si="19"/>
        <v>0</v>
      </c>
      <c r="S62" s="446" t="s">
        <v>31</v>
      </c>
      <c r="T62" s="12" t="s">
        <v>27</v>
      </c>
      <c r="U62" s="12"/>
      <c r="V62" s="44" t="s">
        <v>72</v>
      </c>
      <c r="W62" s="339"/>
    </row>
    <row r="63" spans="1:25" ht="20.45" customHeight="1" x14ac:dyDescent="0.25">
      <c r="A63" s="1"/>
      <c r="B63" s="10" t="s">
        <v>42</v>
      </c>
      <c r="C63" s="2"/>
      <c r="D63" s="3"/>
      <c r="E63" s="4"/>
      <c r="F63" s="2" t="s">
        <v>7</v>
      </c>
      <c r="G63" s="207"/>
      <c r="H63" s="201"/>
      <c r="I63" s="202"/>
      <c r="J63" s="197"/>
      <c r="K63" s="200"/>
      <c r="L63" s="201"/>
      <c r="M63" s="202"/>
      <c r="N63" s="197"/>
      <c r="O63" s="5">
        <v>300000</v>
      </c>
      <c r="P63" s="288">
        <f>'Részletező táblázat'!N79</f>
        <v>114300</v>
      </c>
      <c r="Q63" s="77">
        <f>'Részletező táblázat'!O79</f>
        <v>114300</v>
      </c>
      <c r="R63" s="453">
        <f t="shared" si="19"/>
        <v>185700</v>
      </c>
      <c r="S63" s="446" t="s">
        <v>31</v>
      </c>
      <c r="T63" s="12" t="s">
        <v>27</v>
      </c>
      <c r="U63" s="12"/>
      <c r="V63" s="44" t="s">
        <v>72</v>
      </c>
      <c r="W63" s="339"/>
    </row>
    <row r="64" spans="1:25" ht="48" x14ac:dyDescent="0.25">
      <c r="A64" s="387" t="s">
        <v>218</v>
      </c>
      <c r="B64" s="185" t="s">
        <v>224</v>
      </c>
      <c r="C64" s="186"/>
      <c r="D64" s="306"/>
      <c r="E64" s="307"/>
      <c r="F64" s="186"/>
      <c r="G64" s="418">
        <f>600000+1500000+1350294</f>
        <v>3450294</v>
      </c>
      <c r="H64" s="308">
        <f>'Részletező táblázat'!H81+'Részletező táblázat'!H82+'Részletező táblázat'!H83+'Részletező táblázat'!H84+'Részletező táblázat'!H85+'Részletező táblázat'!H86+'Részletező táblázat'!H87+'Részletező táblázat'!H88+'Részletező táblázat'!H89</f>
        <v>3450294</v>
      </c>
      <c r="I64" s="115"/>
      <c r="J64" s="431">
        <f>G64-H64</f>
        <v>0</v>
      </c>
      <c r="K64" s="200"/>
      <c r="L64" s="201"/>
      <c r="M64" s="202"/>
      <c r="N64" s="197"/>
      <c r="O64" s="200"/>
      <c r="P64" s="273"/>
      <c r="Q64" s="202"/>
      <c r="R64" s="210"/>
      <c r="S64" s="92" t="s">
        <v>26</v>
      </c>
      <c r="T64" s="12" t="s">
        <v>27</v>
      </c>
      <c r="U64" s="12" t="s">
        <v>97</v>
      </c>
      <c r="V64" s="44" t="s">
        <v>72</v>
      </c>
      <c r="W64" s="339"/>
    </row>
    <row r="65" spans="1:24" ht="48" x14ac:dyDescent="0.25">
      <c r="A65" s="388" t="s">
        <v>219</v>
      </c>
      <c r="B65" s="10" t="s">
        <v>43</v>
      </c>
      <c r="C65" s="2"/>
      <c r="D65" s="3" t="s">
        <v>7</v>
      </c>
      <c r="E65" s="4"/>
      <c r="F65" s="2"/>
      <c r="G65" s="418">
        <f>500000+485128</f>
        <v>985128</v>
      </c>
      <c r="H65" s="287">
        <v>985476</v>
      </c>
      <c r="I65" s="288"/>
      <c r="J65" s="302">
        <f>G65-H65</f>
        <v>-348</v>
      </c>
      <c r="K65" s="200"/>
      <c r="L65" s="201"/>
      <c r="M65" s="202"/>
      <c r="N65" s="197"/>
      <c r="O65" s="200"/>
      <c r="P65" s="202"/>
      <c r="Q65" s="202"/>
      <c r="R65" s="210"/>
      <c r="S65" s="92" t="s">
        <v>26</v>
      </c>
      <c r="T65" s="12" t="s">
        <v>27</v>
      </c>
      <c r="U65" s="12" t="s">
        <v>99</v>
      </c>
      <c r="V65" s="44" t="s">
        <v>72</v>
      </c>
      <c r="W65" s="339"/>
      <c r="X65" s="188"/>
    </row>
    <row r="66" spans="1:24" ht="48.75" thickBot="1" x14ac:dyDescent="0.3">
      <c r="A66" s="272"/>
      <c r="B66" s="10" t="s">
        <v>44</v>
      </c>
      <c r="C66" s="2"/>
      <c r="D66" s="3" t="s">
        <v>7</v>
      </c>
      <c r="E66" s="4"/>
      <c r="F66" s="2"/>
      <c r="G66" s="7">
        <v>500000</v>
      </c>
      <c r="H66" s="265">
        <f>G66</f>
        <v>500000</v>
      </c>
      <c r="I66" s="77"/>
      <c r="J66" s="6">
        <f>G66-H66</f>
        <v>0</v>
      </c>
      <c r="K66" s="200"/>
      <c r="L66" s="201"/>
      <c r="M66" s="202"/>
      <c r="N66" s="197"/>
      <c r="O66" s="200"/>
      <c r="P66" s="202"/>
      <c r="Q66" s="202"/>
      <c r="R66" s="210"/>
      <c r="S66" s="92" t="s">
        <v>26</v>
      </c>
      <c r="T66" s="12" t="s">
        <v>27</v>
      </c>
      <c r="U66" s="12" t="s">
        <v>99</v>
      </c>
      <c r="V66" s="44" t="s">
        <v>72</v>
      </c>
      <c r="W66" s="339"/>
    </row>
    <row r="67" spans="1:24" s="14" customFormat="1" ht="46.9" customHeight="1" thickBot="1" x14ac:dyDescent="0.3">
      <c r="A67" s="25" t="s">
        <v>2</v>
      </c>
      <c r="B67" s="63"/>
      <c r="C67" s="58"/>
      <c r="D67" s="59"/>
      <c r="E67" s="60"/>
      <c r="F67" s="58"/>
      <c r="G67" s="61">
        <f t="shared" ref="G67:M67" si="21">SUM(G46:G66)</f>
        <v>19639093</v>
      </c>
      <c r="H67" s="61">
        <f t="shared" si="21"/>
        <v>19739960</v>
      </c>
      <c r="I67" s="362">
        <f t="shared" si="21"/>
        <v>7839190</v>
      </c>
      <c r="J67" s="274">
        <f t="shared" si="21"/>
        <v>-100867</v>
      </c>
      <c r="K67" s="61">
        <f t="shared" si="21"/>
        <v>0</v>
      </c>
      <c r="L67" s="61">
        <f t="shared" si="21"/>
        <v>0</v>
      </c>
      <c r="M67" s="362">
        <f t="shared" si="21"/>
        <v>0</v>
      </c>
      <c r="N67" s="274">
        <f>K67-L67</f>
        <v>0</v>
      </c>
      <c r="O67" s="61">
        <f>SUM(O46:O66)</f>
        <v>5019000</v>
      </c>
      <c r="P67" s="61">
        <f>SUM(P46:P66)</f>
        <v>3942269</v>
      </c>
      <c r="Q67" s="362">
        <f>SUM(Q46:Q66)</f>
        <v>2092269</v>
      </c>
      <c r="R67" s="274">
        <f>SUM(R46:R66)</f>
        <v>1076731</v>
      </c>
      <c r="S67" s="106"/>
      <c r="T67" s="97"/>
      <c r="U67" s="97"/>
      <c r="V67" s="101"/>
      <c r="W67" s="339"/>
    </row>
    <row r="68" spans="1:24" s="15" customFormat="1" ht="47.25" customHeight="1" thickBot="1" x14ac:dyDescent="0.3">
      <c r="A68" s="364" t="s">
        <v>3</v>
      </c>
      <c r="B68" s="365">
        <f>G68+K68+O68</f>
        <v>185813000</v>
      </c>
      <c r="C68" s="366"/>
      <c r="D68" s="366"/>
      <c r="E68" s="366"/>
      <c r="F68" s="367"/>
      <c r="G68" s="368">
        <f>G17+G31+G43+G67</f>
        <v>164367251</v>
      </c>
      <c r="H68" s="368">
        <f>H17+H31+H43+H67</f>
        <v>164468118</v>
      </c>
      <c r="I68" s="368">
        <f>I17+I31+I43+I67</f>
        <v>35653348</v>
      </c>
      <c r="J68" s="369">
        <f>J17+J31+J43+J67</f>
        <v>-100929.99000000022</v>
      </c>
      <c r="K68" s="368">
        <f>K17+K31+K43+K67-K31</f>
        <v>11175799</v>
      </c>
      <c r="L68" s="368">
        <f>L17+L31+L43+L67-L31</f>
        <v>11175799</v>
      </c>
      <c r="M68" s="368">
        <f>M17+M31+M43+M67-M31</f>
        <v>11175799</v>
      </c>
      <c r="N68" s="369">
        <f>N17+N43+N67</f>
        <v>0</v>
      </c>
      <c r="O68" s="368">
        <f>O17+O31+O43+O67</f>
        <v>10269950</v>
      </c>
      <c r="P68" s="368">
        <f>P17+P31+P43+P67</f>
        <v>8952419</v>
      </c>
      <c r="Q68" s="368">
        <f>Q17+Q31+Q43+Q67</f>
        <v>7102419</v>
      </c>
      <c r="R68" s="369">
        <f>R17+R31+R67</f>
        <v>1076731</v>
      </c>
      <c r="S68" s="370"/>
      <c r="T68" s="370"/>
      <c r="U68" s="370"/>
      <c r="V68" s="370"/>
      <c r="W68" s="340"/>
    </row>
    <row r="69" spans="1:24" s="15" customFormat="1" ht="47.25" hidden="1" customHeight="1" thickBot="1" x14ac:dyDescent="0.3">
      <c r="A69" s="371" t="s">
        <v>150</v>
      </c>
      <c r="B69" s="365">
        <f>G69+K69+O69</f>
        <v>25675000</v>
      </c>
      <c r="C69" s="372"/>
      <c r="D69" s="372"/>
      <c r="E69" s="372"/>
      <c r="F69" s="372"/>
      <c r="G69" s="368">
        <f>G27</f>
        <v>5675000</v>
      </c>
      <c r="H69" s="368">
        <f t="shared" ref="H69:J69" si="22">H27</f>
        <v>5675000</v>
      </c>
      <c r="I69" s="368">
        <f t="shared" si="22"/>
        <v>0</v>
      </c>
      <c r="J69" s="368">
        <f t="shared" si="22"/>
        <v>0</v>
      </c>
      <c r="K69" s="368">
        <f>K23</f>
        <v>20000000</v>
      </c>
      <c r="L69" s="368">
        <f t="shared" ref="L69:R69" si="23">L23</f>
        <v>24257005</v>
      </c>
      <c r="M69" s="368">
        <f t="shared" si="23"/>
        <v>0</v>
      </c>
      <c r="N69" s="368">
        <f t="shared" si="23"/>
        <v>-4257005</v>
      </c>
      <c r="O69" s="368">
        <f t="shared" si="23"/>
        <v>0</v>
      </c>
      <c r="P69" s="368">
        <f t="shared" si="23"/>
        <v>0</v>
      </c>
      <c r="Q69" s="368">
        <f t="shared" si="23"/>
        <v>0</v>
      </c>
      <c r="R69" s="368">
        <f t="shared" si="23"/>
        <v>0</v>
      </c>
      <c r="S69" s="370"/>
      <c r="T69" s="370"/>
      <c r="U69" s="370"/>
      <c r="V69" s="370"/>
      <c r="W69" s="340"/>
    </row>
    <row r="70" spans="1:24" ht="32.25" thickBot="1" x14ac:dyDescent="0.3">
      <c r="A70" s="373" t="s">
        <v>173</v>
      </c>
      <c r="B70" s="423">
        <f>J68+N68+R68</f>
        <v>975801.00999999978</v>
      </c>
      <c r="C70" s="100"/>
      <c r="D70" s="100"/>
      <c r="E70" s="100"/>
      <c r="F70" s="100"/>
      <c r="G70" s="107"/>
      <c r="H70" s="100"/>
      <c r="I70" s="100" t="s">
        <v>196</v>
      </c>
      <c r="J70" s="100"/>
      <c r="K70" s="108"/>
      <c r="L70" s="109"/>
      <c r="M70" s="109"/>
      <c r="N70" s="109"/>
      <c r="O70" s="109"/>
      <c r="P70" s="108"/>
      <c r="Q70" s="108"/>
      <c r="R70" s="108"/>
      <c r="S70" s="101"/>
      <c r="T70" s="101"/>
      <c r="U70" s="101"/>
      <c r="V70" s="102"/>
      <c r="W70" s="341"/>
    </row>
    <row r="71" spans="1:24" x14ac:dyDescent="0.25">
      <c r="H71" s="264"/>
      <c r="L71" s="264"/>
      <c r="P71" s="264"/>
      <c r="W71" s="342"/>
    </row>
    <row r="72" spans="1:24" x14ac:dyDescent="0.25">
      <c r="A72" s="72"/>
      <c r="B72" s="141"/>
      <c r="G72" s="73"/>
    </row>
    <row r="73" spans="1:24" x14ac:dyDescent="0.25">
      <c r="A73" s="351"/>
      <c r="B73" s="313"/>
      <c r="C73" s="171"/>
      <c r="D73" s="171"/>
      <c r="E73" s="171"/>
      <c r="F73" s="171"/>
      <c r="G73" s="352"/>
      <c r="H73" s="27"/>
      <c r="I73" s="151"/>
      <c r="J73" s="9" t="s">
        <v>127</v>
      </c>
    </row>
    <row r="74" spans="1:24" x14ac:dyDescent="0.25">
      <c r="A74" s="424"/>
      <c r="B74" s="9" t="s">
        <v>225</v>
      </c>
    </row>
    <row r="75" spans="1:24" x14ac:dyDescent="0.25">
      <c r="B75" s="432">
        <v>-15000000</v>
      </c>
      <c r="G75" s="438" t="s">
        <v>61</v>
      </c>
    </row>
    <row r="76" spans="1:24" x14ac:dyDescent="0.25">
      <c r="B76" s="432">
        <v>-15000000</v>
      </c>
      <c r="G76" s="439" t="s">
        <v>81</v>
      </c>
    </row>
    <row r="77" spans="1:24" x14ac:dyDescent="0.25">
      <c r="B77" s="432">
        <v>10000000</v>
      </c>
      <c r="G77" s="433" t="s">
        <v>85</v>
      </c>
      <c r="H77" s="150"/>
    </row>
    <row r="78" spans="1:24" x14ac:dyDescent="0.25">
      <c r="B78" s="432">
        <v>15730000</v>
      </c>
      <c r="G78" s="435" t="s">
        <v>93</v>
      </c>
      <c r="H78" s="150"/>
    </row>
    <row r="79" spans="1:24" x14ac:dyDescent="0.25">
      <c r="B79" s="432">
        <v>4270000</v>
      </c>
      <c r="G79" s="440" t="s">
        <v>226</v>
      </c>
    </row>
    <row r="80" spans="1:24" x14ac:dyDescent="0.25">
      <c r="G80" s="151">
        <v>-170799</v>
      </c>
      <c r="H80" s="433" t="s">
        <v>214</v>
      </c>
    </row>
    <row r="81" spans="7:8" x14ac:dyDescent="0.25">
      <c r="G81" s="151">
        <v>-107950</v>
      </c>
      <c r="H81" s="434" t="s">
        <v>21</v>
      </c>
    </row>
    <row r="82" spans="7:8" x14ac:dyDescent="0.25">
      <c r="G82" s="151">
        <v>-136624</v>
      </c>
      <c r="H82" s="435" t="s">
        <v>59</v>
      </c>
    </row>
    <row r="83" spans="7:8" x14ac:dyDescent="0.25">
      <c r="G83" s="151">
        <v>-1540034</v>
      </c>
      <c r="H83" s="433" t="s">
        <v>143</v>
      </c>
    </row>
    <row r="84" spans="7:8" x14ac:dyDescent="0.25">
      <c r="G84" s="151">
        <v>-268000</v>
      </c>
      <c r="H84" s="433" t="s">
        <v>166</v>
      </c>
    </row>
    <row r="85" spans="7:8" x14ac:dyDescent="0.25">
      <c r="G85" s="151">
        <v>-381000</v>
      </c>
      <c r="H85" s="433" t="s">
        <v>83</v>
      </c>
    </row>
    <row r="86" spans="7:8" x14ac:dyDescent="0.25">
      <c r="G86" s="151">
        <v>-184671</v>
      </c>
      <c r="H86" s="436" t="s">
        <v>128</v>
      </c>
    </row>
    <row r="87" spans="7:8" x14ac:dyDescent="0.25">
      <c r="G87" s="151">
        <v>-1350294</v>
      </c>
      <c r="H87" s="437" t="s">
        <v>224</v>
      </c>
    </row>
    <row r="88" spans="7:8" x14ac:dyDescent="0.25">
      <c r="G88" s="151">
        <v>-485128</v>
      </c>
      <c r="H88" s="433" t="s">
        <v>43</v>
      </c>
    </row>
    <row r="89" spans="7:8" x14ac:dyDescent="0.25">
      <c r="G89" s="151">
        <v>354500</v>
      </c>
      <c r="H89" s="433" t="s">
        <v>20</v>
      </c>
    </row>
  </sheetData>
  <mergeCells count="30">
    <mergeCell ref="T3:V3"/>
    <mergeCell ref="G6:J6"/>
    <mergeCell ref="K6:N6"/>
    <mergeCell ref="O6:R6"/>
    <mergeCell ref="K45:N45"/>
    <mergeCell ref="O45:R45"/>
    <mergeCell ref="K44:N44"/>
    <mergeCell ref="O44:R44"/>
    <mergeCell ref="G18:J18"/>
    <mergeCell ref="K18:N18"/>
    <mergeCell ref="O18:R18"/>
    <mergeCell ref="G32:J32"/>
    <mergeCell ref="K32:N32"/>
    <mergeCell ref="O32:R32"/>
    <mergeCell ref="G44:J44"/>
    <mergeCell ref="A45:B45"/>
    <mergeCell ref="G45:J45"/>
    <mergeCell ref="A44:B44"/>
    <mergeCell ref="A1:S1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8:B18"/>
    <mergeCell ref="A32:B32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71" fitToHeight="2" orientation="landscape" r:id="rId1"/>
  <headerFooter>
    <oddHeader>&amp;L&amp;12Martonvásár Város Önkormányzata&amp;C&amp;"-,Félkövér"&amp;12LÉTESÍTMÉNYGAZDÁLKODÁS KÖZÉPTÁVÚ KONCEPCIÓJA</oddHeader>
    <oddFooter>&amp;R&amp;P</oddFooter>
  </headerFooter>
  <rowBreaks count="1" manualBreakCount="1">
    <brk id="43" max="2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zoomScaleNormal="100" workbookViewId="0">
      <selection activeCell="O73" sqref="O73"/>
    </sheetView>
  </sheetViews>
  <sheetFormatPr defaultColWidth="8.85546875" defaultRowHeight="15" x14ac:dyDescent="0.25"/>
  <cols>
    <col min="1" max="1" width="30.28515625" style="28" customWidth="1"/>
    <col min="2" max="2" width="54.7109375" style="27" customWidth="1"/>
    <col min="3" max="3" width="33.7109375" style="9" hidden="1" customWidth="1"/>
    <col min="4" max="4" width="24.7109375" style="27" customWidth="1"/>
    <col min="5" max="5" width="12.7109375" style="9" customWidth="1"/>
    <col min="6" max="6" width="17.140625" style="9" bestFit="1" customWidth="1"/>
    <col min="7" max="7" width="12.42578125" style="9" customWidth="1"/>
    <col min="8" max="15" width="12" style="9" customWidth="1"/>
    <col min="16" max="16" width="16.28515625" style="9" customWidth="1"/>
    <col min="17" max="17" width="33.42578125" style="9" customWidth="1"/>
    <col min="18" max="16384" width="8.85546875" style="9"/>
  </cols>
  <sheetData>
    <row r="1" spans="1:17" ht="46.15" customHeight="1" x14ac:dyDescent="0.25">
      <c r="A1" s="461" t="s">
        <v>74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7" ht="15.75" thickBot="1" x14ac:dyDescent="0.3">
      <c r="A2" s="45"/>
    </row>
    <row r="3" spans="1:17" s="28" customFormat="1" ht="30" customHeight="1" thickBot="1" x14ac:dyDescent="0.3">
      <c r="A3" s="462" t="s">
        <v>0</v>
      </c>
      <c r="B3" s="464" t="s">
        <v>1</v>
      </c>
      <c r="C3" s="466" t="s">
        <v>8</v>
      </c>
      <c r="D3" s="316" t="s">
        <v>151</v>
      </c>
      <c r="E3" s="507" t="s">
        <v>103</v>
      </c>
      <c r="F3" s="507" t="s">
        <v>120</v>
      </c>
      <c r="G3" s="474" t="s">
        <v>100</v>
      </c>
      <c r="H3" s="475"/>
      <c r="I3" s="476"/>
      <c r="J3" s="474" t="s">
        <v>101</v>
      </c>
      <c r="K3" s="475"/>
      <c r="L3" s="476"/>
      <c r="M3" s="474" t="s">
        <v>102</v>
      </c>
      <c r="N3" s="475"/>
      <c r="O3" s="476"/>
      <c r="P3" s="82" t="s">
        <v>123</v>
      </c>
    </row>
    <row r="4" spans="1:17" s="28" customFormat="1" ht="30.75" thickBot="1" x14ac:dyDescent="0.3">
      <c r="A4" s="463"/>
      <c r="B4" s="465"/>
      <c r="C4" s="467"/>
      <c r="D4" s="323"/>
      <c r="E4" s="507"/>
      <c r="F4" s="507"/>
      <c r="G4" s="83" t="s">
        <v>11</v>
      </c>
      <c r="H4" s="82" t="s">
        <v>171</v>
      </c>
      <c r="I4" s="83" t="s">
        <v>107</v>
      </c>
      <c r="J4" s="83" t="s">
        <v>11</v>
      </c>
      <c r="K4" s="82" t="s">
        <v>171</v>
      </c>
      <c r="L4" s="83" t="s">
        <v>107</v>
      </c>
      <c r="M4" s="83" t="s">
        <v>11</v>
      </c>
      <c r="N4" s="82" t="s">
        <v>171</v>
      </c>
      <c r="O4" s="83" t="s">
        <v>107</v>
      </c>
      <c r="P4" s="152"/>
    </row>
    <row r="5" spans="1:17" ht="30" customHeight="1" thickBot="1" x14ac:dyDescent="0.3">
      <c r="A5" s="68"/>
      <c r="B5" s="69" t="s">
        <v>75</v>
      </c>
      <c r="C5" s="30"/>
      <c r="D5" s="324"/>
      <c r="E5" s="122"/>
      <c r="F5" s="122"/>
      <c r="G5" s="119"/>
      <c r="H5" s="119"/>
      <c r="I5" s="120"/>
      <c r="J5" s="498"/>
      <c r="K5" s="498"/>
      <c r="L5" s="84"/>
      <c r="M5" s="497"/>
      <c r="N5" s="498"/>
      <c r="O5" s="84"/>
      <c r="P5" s="100"/>
    </row>
    <row r="6" spans="1:17" ht="29.25" customHeight="1" thickBot="1" x14ac:dyDescent="0.3">
      <c r="A6" s="492" t="s">
        <v>76</v>
      </c>
      <c r="B6" s="481"/>
      <c r="C6" s="231"/>
      <c r="D6" s="325"/>
      <c r="E6" s="232"/>
      <c r="F6" s="232"/>
      <c r="G6" s="233"/>
      <c r="H6" s="233"/>
      <c r="I6" s="234"/>
      <c r="J6" s="485"/>
      <c r="K6" s="486"/>
      <c r="L6" s="235"/>
      <c r="M6" s="485"/>
      <c r="N6" s="486"/>
      <c r="O6" s="235"/>
      <c r="P6" s="236"/>
    </row>
    <row r="7" spans="1:17" ht="30" x14ac:dyDescent="0.25">
      <c r="A7" s="64" t="s">
        <v>16</v>
      </c>
      <c r="B7" s="16" t="s">
        <v>80</v>
      </c>
      <c r="C7" s="17"/>
      <c r="D7" s="326"/>
      <c r="E7" s="123"/>
      <c r="F7" s="123"/>
      <c r="G7" s="213"/>
      <c r="H7" s="214"/>
      <c r="I7" s="215"/>
      <c r="J7" s="416">
        <f>11005000+170799</f>
        <v>11175799</v>
      </c>
      <c r="K7" s="353">
        <v>11175799</v>
      </c>
      <c r="L7" s="375">
        <v>11175799</v>
      </c>
      <c r="M7" s="213"/>
      <c r="N7" s="214"/>
      <c r="O7" s="215"/>
      <c r="P7" s="359">
        <v>44454</v>
      </c>
    </row>
    <row r="8" spans="1:17" x14ac:dyDescent="0.25">
      <c r="A8" s="1" t="s">
        <v>64</v>
      </c>
      <c r="B8" s="10" t="s">
        <v>65</v>
      </c>
      <c r="C8" s="2"/>
      <c r="D8" s="327"/>
      <c r="E8" s="124"/>
      <c r="F8" s="124"/>
      <c r="G8" s="7">
        <v>20000000</v>
      </c>
      <c r="H8" s="77"/>
      <c r="I8" s="6"/>
      <c r="J8" s="207"/>
      <c r="K8" s="202"/>
      <c r="L8" s="197"/>
      <c r="M8" s="207"/>
      <c r="N8" s="202"/>
      <c r="O8" s="197"/>
      <c r="P8" s="124"/>
    </row>
    <row r="9" spans="1:17" x14ac:dyDescent="0.25">
      <c r="A9" s="1"/>
      <c r="B9" s="386" t="s">
        <v>196</v>
      </c>
      <c r="C9" s="2"/>
      <c r="D9" s="327" t="s">
        <v>194</v>
      </c>
      <c r="E9" s="124" t="s">
        <v>195</v>
      </c>
      <c r="F9" s="124"/>
      <c r="G9" s="7"/>
      <c r="H9" s="77">
        <v>3575050</v>
      </c>
      <c r="I9" s="6"/>
      <c r="J9" s="207"/>
      <c r="K9" s="202"/>
      <c r="L9" s="197"/>
      <c r="M9" s="207"/>
      <c r="N9" s="202"/>
      <c r="O9" s="197"/>
      <c r="P9" s="124"/>
    </row>
    <row r="10" spans="1:17" x14ac:dyDescent="0.25">
      <c r="A10" s="1" t="s">
        <v>64</v>
      </c>
      <c r="B10" s="10" t="s">
        <v>66</v>
      </c>
      <c r="C10" s="2"/>
      <c r="D10" s="327"/>
      <c r="E10" s="124"/>
      <c r="F10" s="124"/>
      <c r="G10" s="7">
        <v>10000000</v>
      </c>
      <c r="H10" s="77"/>
      <c r="I10" s="6"/>
      <c r="J10" s="207"/>
      <c r="K10" s="202"/>
      <c r="L10" s="197"/>
      <c r="M10" s="207"/>
      <c r="N10" s="202"/>
      <c r="O10" s="197"/>
      <c r="P10" s="124"/>
    </row>
    <row r="11" spans="1:17" x14ac:dyDescent="0.25">
      <c r="A11" s="1" t="s">
        <v>64</v>
      </c>
      <c r="B11" s="10" t="s">
        <v>67</v>
      </c>
      <c r="C11" s="2"/>
      <c r="D11" s="327"/>
      <c r="E11" s="124"/>
      <c r="F11" s="124"/>
      <c r="G11" s="7">
        <v>36000000</v>
      </c>
      <c r="H11" s="77"/>
      <c r="I11" s="6"/>
      <c r="J11" s="207"/>
      <c r="K11" s="202"/>
      <c r="L11" s="197"/>
      <c r="M11" s="207"/>
      <c r="N11" s="202"/>
      <c r="O11" s="197"/>
      <c r="P11" s="124"/>
    </row>
    <row r="12" spans="1:17" x14ac:dyDescent="0.25">
      <c r="A12" s="1" t="s">
        <v>64</v>
      </c>
      <c r="B12" s="13" t="s">
        <v>89</v>
      </c>
      <c r="C12" s="2"/>
      <c r="D12" s="327"/>
      <c r="E12" s="124"/>
      <c r="F12" s="124"/>
      <c r="G12" s="7">
        <v>-36000000</v>
      </c>
      <c r="H12" s="77"/>
      <c r="I12" s="6"/>
      <c r="J12" s="207"/>
      <c r="K12" s="202"/>
      <c r="L12" s="197"/>
      <c r="M12" s="207"/>
      <c r="N12" s="202"/>
      <c r="O12" s="197"/>
      <c r="P12" s="124"/>
    </row>
    <row r="13" spans="1:17" ht="30" x14ac:dyDescent="0.25">
      <c r="A13" s="126" t="s">
        <v>71</v>
      </c>
      <c r="B13" s="113" t="s">
        <v>77</v>
      </c>
      <c r="C13" s="127"/>
      <c r="D13" s="328" t="s">
        <v>198</v>
      </c>
      <c r="E13" s="128" t="s">
        <v>209</v>
      </c>
      <c r="F13" s="128" t="s">
        <v>208</v>
      </c>
      <c r="G13" s="425">
        <f>14606000</f>
        <v>14606000</v>
      </c>
      <c r="H13" s="426">
        <v>11500837</v>
      </c>
      <c r="I13" s="115">
        <v>11500837</v>
      </c>
      <c r="J13" s="216"/>
      <c r="K13" s="217"/>
      <c r="L13" s="218"/>
      <c r="M13" s="216"/>
      <c r="N13" s="217"/>
      <c r="O13" s="218"/>
      <c r="P13" s="270">
        <v>44469</v>
      </c>
      <c r="Q13" s="381" t="s">
        <v>210</v>
      </c>
    </row>
    <row r="14" spans="1:17" x14ac:dyDescent="0.25">
      <c r="A14" s="126"/>
      <c r="B14" s="382" t="s">
        <v>211</v>
      </c>
      <c r="C14" s="127"/>
      <c r="D14" s="328"/>
      <c r="E14" s="128"/>
      <c r="F14" s="128"/>
      <c r="G14" s="427"/>
      <c r="H14" s="426">
        <f>H13*0.27</f>
        <v>3105225.99</v>
      </c>
      <c r="I14" s="115">
        <v>3105226</v>
      </c>
      <c r="J14" s="216"/>
      <c r="K14" s="217"/>
      <c r="L14" s="218"/>
      <c r="M14" s="216"/>
      <c r="N14" s="217"/>
      <c r="O14" s="218"/>
      <c r="P14" s="270">
        <v>44489</v>
      </c>
      <c r="Q14" s="381"/>
    </row>
    <row r="15" spans="1:17" x14ac:dyDescent="0.25">
      <c r="A15" s="126" t="s">
        <v>71</v>
      </c>
      <c r="B15" s="131" t="s">
        <v>78</v>
      </c>
      <c r="C15" s="127"/>
      <c r="D15" s="328"/>
      <c r="E15" s="128"/>
      <c r="F15" s="128"/>
      <c r="G15" s="130">
        <v>-14606000</v>
      </c>
      <c r="H15" s="115">
        <v>-14606000</v>
      </c>
      <c r="I15" s="115">
        <v>-11500837</v>
      </c>
      <c r="J15" s="216"/>
      <c r="K15" s="217"/>
      <c r="L15" s="218"/>
      <c r="M15" s="216"/>
      <c r="N15" s="217"/>
      <c r="O15" s="218"/>
      <c r="P15" s="124"/>
    </row>
    <row r="16" spans="1:17" x14ac:dyDescent="0.25">
      <c r="A16" s="1" t="s">
        <v>68</v>
      </c>
      <c r="B16" s="10" t="s">
        <v>69</v>
      </c>
      <c r="C16" s="2"/>
      <c r="D16" s="327"/>
      <c r="E16" s="124"/>
      <c r="F16" s="124"/>
      <c r="G16" s="7">
        <v>19000000</v>
      </c>
      <c r="H16" s="77"/>
      <c r="I16" s="6"/>
      <c r="J16" s="207"/>
      <c r="K16" s="202"/>
      <c r="L16" s="197"/>
      <c r="M16" s="207"/>
      <c r="N16" s="202"/>
      <c r="O16" s="197"/>
      <c r="P16" s="124"/>
    </row>
    <row r="17" spans="1:17" ht="15.75" thickBot="1" x14ac:dyDescent="0.3">
      <c r="A17" s="42" t="s">
        <v>68</v>
      </c>
      <c r="B17" s="43" t="s">
        <v>70</v>
      </c>
      <c r="C17" s="34"/>
      <c r="D17" s="329"/>
      <c r="E17" s="125"/>
      <c r="F17" s="125"/>
      <c r="G17" s="137"/>
      <c r="H17" s="87"/>
      <c r="I17" s="88"/>
      <c r="J17" s="219"/>
      <c r="K17" s="220"/>
      <c r="L17" s="206"/>
      <c r="M17" s="219"/>
      <c r="N17" s="220"/>
      <c r="O17" s="206"/>
      <c r="P17" s="160"/>
    </row>
    <row r="18" spans="1:17" s="14" customFormat="1" ht="16.5" thickBot="1" x14ac:dyDescent="0.3">
      <c r="A18" s="81" t="s">
        <v>2</v>
      </c>
      <c r="B18" s="97"/>
      <c r="C18" s="98"/>
      <c r="D18" s="97"/>
      <c r="E18" s="98"/>
      <c r="F18" s="98"/>
      <c r="G18" s="61">
        <f>SUM(G6:G17)</f>
        <v>49000000</v>
      </c>
      <c r="H18" s="61">
        <f>SUM(H8:H17)</f>
        <v>3575112.9900000021</v>
      </c>
      <c r="I18" s="61">
        <f>SUM(I8:I17)</f>
        <v>3105226</v>
      </c>
      <c r="J18" s="61">
        <f>SUM(J6:J17)</f>
        <v>11175799</v>
      </c>
      <c r="K18" s="61">
        <f>K7</f>
        <v>11175799</v>
      </c>
      <c r="L18" s="361">
        <f>L7</f>
        <v>11175799</v>
      </c>
      <c r="M18" s="61">
        <f>SUM(M6:M17)</f>
        <v>0</v>
      </c>
      <c r="N18" s="61"/>
      <c r="O18" s="61"/>
      <c r="P18" s="98"/>
    </row>
    <row r="19" spans="1:17" ht="29.25" customHeight="1" thickBot="1" x14ac:dyDescent="0.3">
      <c r="A19" s="480" t="s">
        <v>19</v>
      </c>
      <c r="B19" s="481"/>
      <c r="C19" s="231"/>
      <c r="D19" s="325"/>
      <c r="E19" s="236"/>
      <c r="F19" s="236"/>
      <c r="G19" s="485"/>
      <c r="H19" s="486"/>
      <c r="I19" s="235"/>
      <c r="J19" s="485"/>
      <c r="K19" s="486"/>
      <c r="L19" s="235"/>
      <c r="M19" s="485"/>
      <c r="N19" s="486"/>
      <c r="O19" s="235"/>
      <c r="P19" s="236"/>
    </row>
    <row r="20" spans="1:17" x14ac:dyDescent="0.25">
      <c r="A20" s="494" t="s">
        <v>216</v>
      </c>
      <c r="B20" s="16" t="s">
        <v>20</v>
      </c>
      <c r="C20" s="17"/>
      <c r="D20" s="326"/>
      <c r="E20" s="123" t="s">
        <v>126</v>
      </c>
      <c r="F20" s="123"/>
      <c r="G20" s="136">
        <v>2450000</v>
      </c>
      <c r="H20" s="86">
        <v>2095500</v>
      </c>
      <c r="I20" s="85"/>
      <c r="J20" s="213"/>
      <c r="K20" s="214"/>
      <c r="L20" s="215"/>
      <c r="M20" s="213"/>
      <c r="N20" s="214"/>
      <c r="O20" s="215"/>
      <c r="P20" s="159"/>
    </row>
    <row r="21" spans="1:17" x14ac:dyDescent="0.25">
      <c r="A21" s="495"/>
      <c r="B21" s="261" t="s">
        <v>212</v>
      </c>
      <c r="C21" s="17"/>
      <c r="D21" s="326" t="s">
        <v>152</v>
      </c>
      <c r="E21" s="123"/>
      <c r="F21" s="123" t="s">
        <v>132</v>
      </c>
      <c r="G21" s="21"/>
      <c r="H21" s="78"/>
      <c r="I21" s="376">
        <v>523875</v>
      </c>
      <c r="J21" s="194"/>
      <c r="K21" s="196"/>
      <c r="L21" s="192"/>
      <c r="M21" s="194"/>
      <c r="N21" s="196"/>
      <c r="O21" s="192"/>
      <c r="P21" s="262">
        <v>44399</v>
      </c>
    </row>
    <row r="22" spans="1:17" x14ac:dyDescent="0.25">
      <c r="A22" s="496"/>
      <c r="B22" s="261" t="s">
        <v>217</v>
      </c>
      <c r="C22" s="17"/>
      <c r="D22" s="326"/>
      <c r="E22" s="123"/>
      <c r="F22" s="123" t="s">
        <v>213</v>
      </c>
      <c r="G22" s="21"/>
      <c r="H22" s="78"/>
      <c r="I22" s="376">
        <v>1571625</v>
      </c>
      <c r="J22" s="194"/>
      <c r="K22" s="196"/>
      <c r="L22" s="192"/>
      <c r="M22" s="194"/>
      <c r="N22" s="196"/>
      <c r="O22" s="192"/>
      <c r="P22" s="262"/>
    </row>
    <row r="23" spans="1:17" ht="30" x14ac:dyDescent="0.25">
      <c r="A23" s="132" t="s">
        <v>216</v>
      </c>
      <c r="B23" s="113" t="s">
        <v>21</v>
      </c>
      <c r="C23" s="127"/>
      <c r="D23" s="328" t="s">
        <v>168</v>
      </c>
      <c r="E23" s="149" t="s">
        <v>113</v>
      </c>
      <c r="F23" s="128" t="s">
        <v>133</v>
      </c>
      <c r="G23" s="216"/>
      <c r="H23" s="217"/>
      <c r="I23" s="218"/>
      <c r="J23" s="216"/>
      <c r="K23" s="217"/>
      <c r="L23" s="218"/>
      <c r="M23" s="418">
        <f>1143000+107950</f>
        <v>1250950</v>
      </c>
      <c r="N23" s="115">
        <v>1250950</v>
      </c>
      <c r="O23" s="129">
        <v>1250950</v>
      </c>
      <c r="P23" s="270">
        <v>44406</v>
      </c>
      <c r="Q23" s="212"/>
    </row>
    <row r="24" spans="1:17" x14ac:dyDescent="0.25">
      <c r="A24" s="132" t="s">
        <v>216</v>
      </c>
      <c r="B24" s="114" t="s">
        <v>90</v>
      </c>
      <c r="C24" s="133"/>
      <c r="D24" s="330" t="s">
        <v>189</v>
      </c>
      <c r="E24" s="134" t="s">
        <v>141</v>
      </c>
      <c r="F24" s="134" t="s">
        <v>142</v>
      </c>
      <c r="G24" s="135">
        <v>460000</v>
      </c>
      <c r="H24" s="138">
        <v>460000</v>
      </c>
      <c r="I24" s="377">
        <v>460000</v>
      </c>
      <c r="J24" s="207"/>
      <c r="K24" s="202"/>
      <c r="L24" s="197"/>
      <c r="M24" s="207"/>
      <c r="N24" s="202"/>
      <c r="O24" s="197"/>
      <c r="P24" s="270">
        <v>44421</v>
      </c>
    </row>
    <row r="25" spans="1:17" x14ac:dyDescent="0.25">
      <c r="A25" s="1" t="s">
        <v>216</v>
      </c>
      <c r="B25" s="41" t="s">
        <v>59</v>
      </c>
      <c r="C25" s="2" t="s">
        <v>9</v>
      </c>
      <c r="D25" s="327" t="s">
        <v>186</v>
      </c>
      <c r="E25" s="124" t="s">
        <v>135</v>
      </c>
      <c r="F25" s="124">
        <v>2101101498</v>
      </c>
      <c r="G25" s="418">
        <f>1300000+136624</f>
        <v>1436624</v>
      </c>
      <c r="H25" s="138">
        <v>1436624</v>
      </c>
      <c r="I25" s="377">
        <v>1436624</v>
      </c>
      <c r="J25" s="207"/>
      <c r="K25" s="202"/>
      <c r="L25" s="197"/>
      <c r="M25" s="207"/>
      <c r="N25" s="202"/>
      <c r="O25" s="197"/>
      <c r="P25" s="270">
        <v>44418</v>
      </c>
    </row>
    <row r="26" spans="1:17" ht="30" hidden="1" x14ac:dyDescent="0.25">
      <c r="A26" s="298" t="s">
        <v>150</v>
      </c>
      <c r="B26" s="289" t="s">
        <v>79</v>
      </c>
      <c r="C26" s="290"/>
      <c r="D26" s="331" t="s">
        <v>175</v>
      </c>
      <c r="E26" s="291" t="s">
        <v>174</v>
      </c>
      <c r="F26" s="291"/>
      <c r="G26" s="292"/>
      <c r="H26" s="293"/>
      <c r="I26" s="294"/>
      <c r="J26" s="292">
        <v>20000000</v>
      </c>
      <c r="K26" s="296">
        <v>24257005</v>
      </c>
      <c r="L26" s="297">
        <v>24257005</v>
      </c>
      <c r="M26" s="295"/>
      <c r="N26" s="293"/>
      <c r="O26" s="294"/>
      <c r="P26" s="291"/>
    </row>
    <row r="27" spans="1:17" ht="30" x14ac:dyDescent="0.25">
      <c r="A27" s="489" t="s">
        <v>223</v>
      </c>
      <c r="B27" s="40" t="s">
        <v>242</v>
      </c>
      <c r="C27" s="2"/>
      <c r="D27" s="327"/>
      <c r="E27" s="124"/>
      <c r="F27" s="124"/>
      <c r="G27" s="7">
        <f>33000000+15730000</f>
        <v>48730000</v>
      </c>
      <c r="H27" s="77"/>
      <c r="I27" s="6"/>
      <c r="J27" s="207"/>
      <c r="K27" s="202"/>
      <c r="L27" s="197"/>
      <c r="M27" s="207"/>
      <c r="N27" s="202"/>
      <c r="O27" s="197"/>
      <c r="P27" s="124"/>
    </row>
    <row r="28" spans="1:17" x14ac:dyDescent="0.25">
      <c r="A28" s="490"/>
      <c r="B28" s="345" t="s">
        <v>180</v>
      </c>
      <c r="C28" s="2"/>
      <c r="D28" s="327" t="s">
        <v>181</v>
      </c>
      <c r="E28" s="124" t="s">
        <v>182</v>
      </c>
      <c r="F28" s="124"/>
      <c r="G28" s="7"/>
      <c r="H28" s="77">
        <v>600000</v>
      </c>
      <c r="I28" s="6"/>
      <c r="J28" s="207"/>
      <c r="K28" s="202"/>
      <c r="L28" s="197"/>
      <c r="M28" s="207"/>
      <c r="N28" s="202"/>
      <c r="O28" s="197"/>
      <c r="P28" s="124"/>
    </row>
    <row r="29" spans="1:17" ht="45" x14ac:dyDescent="0.25">
      <c r="A29" s="491"/>
      <c r="B29" s="345" t="s">
        <v>183</v>
      </c>
      <c r="C29" s="2"/>
      <c r="D29" s="327" t="s">
        <v>184</v>
      </c>
      <c r="E29" s="124" t="s">
        <v>185</v>
      </c>
      <c r="F29" s="124"/>
      <c r="G29" s="7"/>
      <c r="H29" s="138">
        <v>14000</v>
      </c>
      <c r="I29" s="377">
        <v>14000</v>
      </c>
      <c r="J29" s="207"/>
      <c r="K29" s="202"/>
      <c r="L29" s="197"/>
      <c r="M29" s="207"/>
      <c r="N29" s="202"/>
      <c r="O29" s="197"/>
      <c r="P29" s="270">
        <v>44438</v>
      </c>
    </row>
    <row r="30" spans="1:17" x14ac:dyDescent="0.25">
      <c r="A30" s="503" t="s">
        <v>222</v>
      </c>
      <c r="B30" s="395" t="s">
        <v>61</v>
      </c>
      <c r="C30" s="396"/>
      <c r="D30" s="397"/>
      <c r="E30" s="398"/>
      <c r="F30" s="398"/>
      <c r="G30" s="399">
        <v>15000000</v>
      </c>
      <c r="H30" s="400"/>
      <c r="I30" s="401"/>
      <c r="J30" s="399"/>
      <c r="K30" s="400"/>
      <c r="L30" s="401"/>
      <c r="M30" s="399"/>
      <c r="N30" s="400"/>
      <c r="O30" s="401"/>
      <c r="P30" s="398"/>
    </row>
    <row r="31" spans="1:17" ht="30" x14ac:dyDescent="0.25">
      <c r="A31" s="504"/>
      <c r="B31" s="402" t="s">
        <v>81</v>
      </c>
      <c r="C31" s="396"/>
      <c r="D31" s="397"/>
      <c r="E31" s="398"/>
      <c r="F31" s="398"/>
      <c r="G31" s="399">
        <v>15000000</v>
      </c>
      <c r="H31" s="400"/>
      <c r="I31" s="401"/>
      <c r="J31" s="399"/>
      <c r="K31" s="400"/>
      <c r="L31" s="401"/>
      <c r="M31" s="399"/>
      <c r="N31" s="400"/>
      <c r="O31" s="401"/>
      <c r="P31" s="398"/>
    </row>
    <row r="32" spans="1:17" hidden="1" x14ac:dyDescent="0.25">
      <c r="A32" s="298" t="s">
        <v>150</v>
      </c>
      <c r="B32" s="317" t="s">
        <v>94</v>
      </c>
      <c r="C32" s="318"/>
      <c r="D32" s="332"/>
      <c r="E32" s="319"/>
      <c r="F32" s="319"/>
      <c r="G32" s="320">
        <v>5675000</v>
      </c>
      <c r="H32" s="321"/>
      <c r="I32" s="322"/>
      <c r="J32" s="320"/>
      <c r="K32" s="321"/>
      <c r="L32" s="322"/>
      <c r="M32" s="320"/>
      <c r="N32" s="321"/>
      <c r="O32" s="322"/>
      <c r="P32" s="319"/>
    </row>
    <row r="33" spans="1:17" x14ac:dyDescent="0.25">
      <c r="A33" s="1"/>
      <c r="B33" s="185" t="s">
        <v>143</v>
      </c>
      <c r="C33" s="186"/>
      <c r="D33" s="333"/>
      <c r="E33" s="187"/>
      <c r="F33" s="187"/>
      <c r="G33" s="420">
        <f>2000000+1540034</f>
        <v>3540034</v>
      </c>
      <c r="H33" s="8">
        <f>SUM(H34:H39)</f>
        <v>3540034</v>
      </c>
      <c r="I33" s="6"/>
      <c r="J33" s="207"/>
      <c r="K33" s="201"/>
      <c r="L33" s="197"/>
      <c r="M33" s="207"/>
      <c r="N33" s="201"/>
      <c r="O33" s="197"/>
      <c r="P33" s="184"/>
      <c r="Q33" s="27"/>
    </row>
    <row r="34" spans="1:17" x14ac:dyDescent="0.25">
      <c r="A34" s="71"/>
      <c r="B34" s="165"/>
      <c r="C34" s="166"/>
      <c r="D34" s="303" t="s">
        <v>162</v>
      </c>
      <c r="E34" s="167" t="s">
        <v>108</v>
      </c>
      <c r="F34" s="167" t="s">
        <v>112</v>
      </c>
      <c r="G34" s="168"/>
      <c r="H34" s="354">
        <v>200000</v>
      </c>
      <c r="I34" s="157">
        <v>200000</v>
      </c>
      <c r="J34" s="221"/>
      <c r="K34" s="222"/>
      <c r="L34" s="223"/>
      <c r="M34" s="221"/>
      <c r="N34" s="222"/>
      <c r="O34" s="223"/>
      <c r="P34" s="258">
        <v>44364</v>
      </c>
      <c r="Q34" s="360" t="s">
        <v>136</v>
      </c>
    </row>
    <row r="35" spans="1:17" x14ac:dyDescent="0.25">
      <c r="A35" s="71"/>
      <c r="B35" s="153"/>
      <c r="C35" s="154"/>
      <c r="D35" s="304" t="s">
        <v>161</v>
      </c>
      <c r="E35" s="155" t="s">
        <v>108</v>
      </c>
      <c r="F35" s="155" t="s">
        <v>111</v>
      </c>
      <c r="G35" s="156"/>
      <c r="H35" s="354">
        <v>799304</v>
      </c>
      <c r="I35" s="157">
        <v>799304</v>
      </c>
      <c r="J35" s="221"/>
      <c r="K35" s="222"/>
      <c r="L35" s="223"/>
      <c r="M35" s="221"/>
      <c r="N35" s="222"/>
      <c r="O35" s="223"/>
      <c r="P35" s="258">
        <v>44364</v>
      </c>
      <c r="Q35" s="360" t="s">
        <v>136</v>
      </c>
    </row>
    <row r="36" spans="1:17" x14ac:dyDescent="0.25">
      <c r="A36" s="71"/>
      <c r="B36" s="153"/>
      <c r="C36" s="154"/>
      <c r="D36" s="304" t="s">
        <v>160</v>
      </c>
      <c r="E36" s="155" t="s">
        <v>131</v>
      </c>
      <c r="F36" s="155" t="s">
        <v>144</v>
      </c>
      <c r="G36" s="156"/>
      <c r="H36" s="354">
        <v>999677</v>
      </c>
      <c r="I36" s="378">
        <v>999677</v>
      </c>
      <c r="J36" s="221"/>
      <c r="K36" s="222"/>
      <c r="L36" s="223"/>
      <c r="M36" s="221"/>
      <c r="N36" s="222"/>
      <c r="O36" s="223"/>
      <c r="P36" s="258">
        <v>44399</v>
      </c>
    </row>
    <row r="37" spans="1:17" x14ac:dyDescent="0.25">
      <c r="A37" s="71"/>
      <c r="B37" s="153"/>
      <c r="C37" s="154"/>
      <c r="D37" s="304" t="s">
        <v>159</v>
      </c>
      <c r="E37" s="155" t="s">
        <v>134</v>
      </c>
      <c r="F37" s="155" t="s">
        <v>140</v>
      </c>
      <c r="G37" s="156"/>
      <c r="H37" s="354">
        <v>1220912</v>
      </c>
      <c r="I37" s="378">
        <v>1220912</v>
      </c>
      <c r="J37" s="221"/>
      <c r="K37" s="222"/>
      <c r="L37" s="223"/>
      <c r="M37" s="221"/>
      <c r="N37" s="222"/>
      <c r="O37" s="223"/>
      <c r="P37" s="258">
        <v>44421</v>
      </c>
    </row>
    <row r="38" spans="1:17" ht="30" x14ac:dyDescent="0.25">
      <c r="A38" s="71"/>
      <c r="B38" s="153"/>
      <c r="C38" s="154"/>
      <c r="D38" s="304" t="s">
        <v>147</v>
      </c>
      <c r="E38" s="155" t="s">
        <v>148</v>
      </c>
      <c r="F38" s="155" t="s">
        <v>149</v>
      </c>
      <c r="G38" s="156"/>
      <c r="H38" s="354">
        <v>284480</v>
      </c>
      <c r="I38" s="157">
        <v>284480</v>
      </c>
      <c r="J38" s="221"/>
      <c r="K38" s="222"/>
      <c r="L38" s="223"/>
      <c r="M38" s="221"/>
      <c r="N38" s="222"/>
      <c r="O38" s="223"/>
      <c r="P38" s="286">
        <v>44441</v>
      </c>
    </row>
    <row r="39" spans="1:17" ht="30" x14ac:dyDescent="0.25">
      <c r="A39" s="71"/>
      <c r="B39" s="153"/>
      <c r="C39" s="154"/>
      <c r="D39" s="305" t="s">
        <v>163</v>
      </c>
      <c r="E39" s="155" t="s">
        <v>164</v>
      </c>
      <c r="F39" s="155" t="s">
        <v>165</v>
      </c>
      <c r="G39" s="156"/>
      <c r="H39" s="354">
        <v>35661</v>
      </c>
      <c r="I39" s="157">
        <v>35661</v>
      </c>
      <c r="J39" s="221"/>
      <c r="K39" s="222"/>
      <c r="L39" s="223"/>
      <c r="M39" s="221"/>
      <c r="N39" s="222"/>
      <c r="O39" s="223"/>
      <c r="P39" s="286">
        <v>44448</v>
      </c>
    </row>
    <row r="40" spans="1:17" ht="15.75" thickBot="1" x14ac:dyDescent="0.3">
      <c r="A40" s="1"/>
      <c r="B40" s="10" t="s">
        <v>45</v>
      </c>
      <c r="C40" s="2"/>
      <c r="D40" s="327"/>
      <c r="E40" s="124"/>
      <c r="F40" s="124"/>
      <c r="G40" s="7">
        <v>317000</v>
      </c>
      <c r="H40" s="138"/>
      <c r="I40" s="6"/>
      <c r="J40" s="207"/>
      <c r="K40" s="202"/>
      <c r="L40" s="197"/>
      <c r="M40" s="207"/>
      <c r="N40" s="202"/>
      <c r="O40" s="197"/>
      <c r="P40" s="160"/>
    </row>
    <row r="41" spans="1:17" ht="15.75" thickBot="1" x14ac:dyDescent="0.3">
      <c r="A41" s="42" t="s">
        <v>216</v>
      </c>
      <c r="B41" s="43" t="s">
        <v>46</v>
      </c>
      <c r="C41" s="34"/>
      <c r="D41" s="329" t="s">
        <v>156</v>
      </c>
      <c r="E41" s="125" t="s">
        <v>157</v>
      </c>
      <c r="F41" s="125" t="s">
        <v>158</v>
      </c>
      <c r="G41" s="420">
        <f>500000+268000</f>
        <v>768000</v>
      </c>
      <c r="H41" s="355">
        <v>768000</v>
      </c>
      <c r="I41" s="88">
        <v>768000</v>
      </c>
      <c r="J41" s="219"/>
      <c r="K41" s="220"/>
      <c r="L41" s="206"/>
      <c r="M41" s="219"/>
      <c r="N41" s="220"/>
      <c r="O41" s="206"/>
      <c r="P41" s="350">
        <v>44448</v>
      </c>
    </row>
    <row r="42" spans="1:17" ht="37.5" customHeight="1" thickBot="1" x14ac:dyDescent="0.3">
      <c r="A42" s="81" t="s">
        <v>2</v>
      </c>
      <c r="B42" s="97"/>
      <c r="C42" s="98"/>
      <c r="D42" s="97"/>
      <c r="E42" s="98"/>
      <c r="F42" s="98"/>
      <c r="G42" s="61">
        <f>SUM(G19:G41)-G32-G30-G31</f>
        <v>57701658</v>
      </c>
      <c r="H42" s="61">
        <f>SUM(H20:H41)-H32-H33</f>
        <v>8914158</v>
      </c>
      <c r="I42" s="361">
        <f>SUM(I19:I41)</f>
        <v>8314158</v>
      </c>
      <c r="J42" s="61">
        <f t="shared" ref="J42:O42" si="0">SUM(J19:J40)</f>
        <v>20000000</v>
      </c>
      <c r="K42" s="61">
        <f t="shared" si="0"/>
        <v>24257005</v>
      </c>
      <c r="L42" s="61">
        <f t="shared" si="0"/>
        <v>24257005</v>
      </c>
      <c r="M42" s="61">
        <f t="shared" si="0"/>
        <v>1250950</v>
      </c>
      <c r="N42" s="61">
        <f t="shared" si="0"/>
        <v>1250950</v>
      </c>
      <c r="O42" s="361">
        <f t="shared" si="0"/>
        <v>1250950</v>
      </c>
      <c r="P42" s="164"/>
    </row>
    <row r="43" spans="1:17" ht="15.75" x14ac:dyDescent="0.25">
      <c r="A43" s="501" t="s">
        <v>22</v>
      </c>
      <c r="B43" s="502"/>
      <c r="C43" s="237"/>
      <c r="D43" s="334"/>
      <c r="E43" s="238"/>
      <c r="F43" s="238"/>
      <c r="G43" s="239"/>
      <c r="H43" s="240"/>
      <c r="I43" s="241"/>
      <c r="J43" s="239"/>
      <c r="K43" s="240"/>
      <c r="L43" s="241"/>
      <c r="M43" s="239"/>
      <c r="N43" s="240"/>
      <c r="O43" s="241"/>
      <c r="P43" s="242"/>
    </row>
    <row r="44" spans="1:17" x14ac:dyDescent="0.25">
      <c r="A44" s="385" t="s">
        <v>216</v>
      </c>
      <c r="B44" s="10" t="s">
        <v>82</v>
      </c>
      <c r="C44" s="2"/>
      <c r="D44" s="327"/>
      <c r="E44" s="124"/>
      <c r="F44" s="124"/>
      <c r="G44" s="7">
        <v>19500000</v>
      </c>
      <c r="H44" s="138">
        <f>SUM(H45:H47)</f>
        <v>19500000</v>
      </c>
      <c r="I44" s="6">
        <f>SUM(I45:I47)</f>
        <v>19500000</v>
      </c>
      <c r="J44" s="207"/>
      <c r="K44" s="200"/>
      <c r="L44" s="197"/>
      <c r="M44" s="207"/>
      <c r="N44" s="202"/>
      <c r="O44" s="197"/>
      <c r="P44" s="184"/>
    </row>
    <row r="45" spans="1:17" x14ac:dyDescent="0.25">
      <c r="A45" s="42"/>
      <c r="B45" s="344" t="s">
        <v>115</v>
      </c>
      <c r="C45" s="169"/>
      <c r="D45" s="346"/>
      <c r="E45" s="175" t="s">
        <v>117</v>
      </c>
      <c r="F45" s="178" t="s">
        <v>119</v>
      </c>
      <c r="G45" s="180"/>
      <c r="H45" s="356">
        <v>10000000</v>
      </c>
      <c r="I45" s="182">
        <v>10000000</v>
      </c>
      <c r="J45" s="224"/>
      <c r="K45" s="225"/>
      <c r="L45" s="226"/>
      <c r="M45" s="224"/>
      <c r="N45" s="225"/>
      <c r="O45" s="226"/>
      <c r="P45" s="170">
        <v>44379</v>
      </c>
      <c r="Q45" s="360" t="s">
        <v>136</v>
      </c>
    </row>
    <row r="46" spans="1:17" x14ac:dyDescent="0.25">
      <c r="A46" s="71"/>
      <c r="B46" s="153" t="s">
        <v>116</v>
      </c>
      <c r="C46" s="171"/>
      <c r="D46" s="347"/>
      <c r="E46" s="176" t="s">
        <v>118</v>
      </c>
      <c r="F46" s="155" t="s">
        <v>121</v>
      </c>
      <c r="G46" s="158"/>
      <c r="H46" s="357">
        <v>2656387</v>
      </c>
      <c r="I46" s="157">
        <v>2656387</v>
      </c>
      <c r="J46" s="221"/>
      <c r="K46" s="227"/>
      <c r="L46" s="223"/>
      <c r="M46" s="221"/>
      <c r="N46" s="227"/>
      <c r="O46" s="223"/>
      <c r="P46" s="172">
        <v>44329</v>
      </c>
      <c r="Q46" s="360" t="s">
        <v>136</v>
      </c>
    </row>
    <row r="47" spans="1:17" x14ac:dyDescent="0.25">
      <c r="A47" s="64"/>
      <c r="B47" s="345"/>
      <c r="C47" s="173"/>
      <c r="D47" s="348"/>
      <c r="E47" s="177"/>
      <c r="F47" s="179" t="s">
        <v>122</v>
      </c>
      <c r="G47" s="181"/>
      <c r="H47" s="358">
        <v>6843613</v>
      </c>
      <c r="I47" s="183">
        <v>6843613</v>
      </c>
      <c r="J47" s="228"/>
      <c r="K47" s="229"/>
      <c r="L47" s="230"/>
      <c r="M47" s="228"/>
      <c r="N47" s="229"/>
      <c r="O47" s="230"/>
      <c r="P47" s="174">
        <v>44369</v>
      </c>
      <c r="Q47" s="360" t="s">
        <v>136</v>
      </c>
    </row>
    <row r="48" spans="1:17" x14ac:dyDescent="0.25">
      <c r="A48" s="1"/>
      <c r="B48" s="10" t="s">
        <v>47</v>
      </c>
      <c r="C48" s="2"/>
      <c r="D48" s="349"/>
      <c r="E48" s="184"/>
      <c r="F48" s="124"/>
      <c r="G48" s="7">
        <v>1000000</v>
      </c>
      <c r="H48" s="138"/>
      <c r="I48" s="6"/>
      <c r="J48" s="200"/>
      <c r="K48" s="202"/>
      <c r="L48" s="197"/>
      <c r="M48" s="207"/>
      <c r="N48" s="202"/>
      <c r="O48" s="197"/>
      <c r="P48" s="184"/>
    </row>
    <row r="49" spans="1:17" x14ac:dyDescent="0.25">
      <c r="A49" s="1"/>
      <c r="B49" s="10" t="s">
        <v>130</v>
      </c>
      <c r="C49" s="2"/>
      <c r="D49" s="327" t="s">
        <v>153</v>
      </c>
      <c r="E49" s="124" t="s">
        <v>154</v>
      </c>
      <c r="F49" s="124" t="s">
        <v>155</v>
      </c>
      <c r="G49" s="207"/>
      <c r="H49" s="138"/>
      <c r="I49" s="197"/>
      <c r="J49" s="207"/>
      <c r="K49" s="202"/>
      <c r="L49" s="197"/>
      <c r="M49" s="7">
        <v>4000000</v>
      </c>
      <c r="N49" s="138">
        <v>3759200</v>
      </c>
      <c r="O49" s="6">
        <v>3759200</v>
      </c>
      <c r="P49" s="270">
        <v>44448</v>
      </c>
      <c r="Q49" s="27"/>
    </row>
    <row r="50" spans="1:17" x14ac:dyDescent="0.25">
      <c r="A50" s="1"/>
      <c r="B50" s="10" t="s">
        <v>83</v>
      </c>
      <c r="C50" s="2"/>
      <c r="D50" s="327" t="s">
        <v>169</v>
      </c>
      <c r="E50" s="124" t="s">
        <v>124</v>
      </c>
      <c r="F50" s="124"/>
      <c r="G50" s="421">
        <f>2540000+381000</f>
        <v>2921000</v>
      </c>
      <c r="H50" s="138">
        <v>2921000</v>
      </c>
      <c r="I50" s="6"/>
      <c r="J50" s="207"/>
      <c r="K50" s="202"/>
      <c r="L50" s="197"/>
      <c r="M50" s="207"/>
      <c r="N50" s="202"/>
      <c r="O50" s="197"/>
      <c r="P50" s="270">
        <v>44448</v>
      </c>
    </row>
    <row r="51" spans="1:17" x14ac:dyDescent="0.25">
      <c r="A51" s="1"/>
      <c r="B51" s="386" t="s">
        <v>215</v>
      </c>
      <c r="C51" s="2"/>
      <c r="D51" s="327"/>
      <c r="E51" s="124"/>
      <c r="F51" s="124" t="s">
        <v>170</v>
      </c>
      <c r="G51" s="7"/>
      <c r="H51" s="77"/>
      <c r="I51" s="6">
        <v>2159000</v>
      </c>
      <c r="J51" s="207"/>
      <c r="K51" s="202"/>
      <c r="L51" s="197"/>
      <c r="M51" s="207"/>
      <c r="N51" s="202"/>
      <c r="O51" s="197"/>
      <c r="P51" s="124"/>
    </row>
    <row r="52" spans="1:17" x14ac:dyDescent="0.25">
      <c r="A52" s="1"/>
      <c r="B52" s="386" t="s">
        <v>227</v>
      </c>
      <c r="C52" s="2"/>
      <c r="D52" s="327"/>
      <c r="E52" s="124"/>
      <c r="F52" s="124" t="s">
        <v>228</v>
      </c>
      <c r="G52" s="7"/>
      <c r="H52" s="77"/>
      <c r="I52" s="6">
        <v>444500</v>
      </c>
      <c r="J52" s="207"/>
      <c r="K52" s="202"/>
      <c r="L52" s="197"/>
      <c r="M52" s="207"/>
      <c r="N52" s="202"/>
      <c r="O52" s="197"/>
      <c r="P52" s="124"/>
    </row>
    <row r="53" spans="1:17" x14ac:dyDescent="0.25">
      <c r="A53" s="1"/>
      <c r="B53" s="13" t="s">
        <v>84</v>
      </c>
      <c r="C53" s="2"/>
      <c r="D53" s="327"/>
      <c r="E53" s="124"/>
      <c r="F53" s="124"/>
      <c r="G53" s="7">
        <v>-2540000</v>
      </c>
      <c r="H53" s="77"/>
      <c r="I53" s="6"/>
      <c r="J53" s="207"/>
      <c r="K53" s="202"/>
      <c r="L53" s="197"/>
      <c r="M53" s="207"/>
      <c r="N53" s="202"/>
      <c r="O53" s="197"/>
      <c r="P53" s="124"/>
    </row>
    <row r="54" spans="1:17" ht="29.25" customHeight="1" x14ac:dyDescent="0.25">
      <c r="A54" s="404" t="s">
        <v>221</v>
      </c>
      <c r="B54" s="10" t="s">
        <v>85</v>
      </c>
      <c r="C54" s="2"/>
      <c r="D54" s="327"/>
      <c r="E54" s="124"/>
      <c r="F54" s="124"/>
      <c r="G54" s="7">
        <v>10000000</v>
      </c>
      <c r="H54" s="77"/>
      <c r="I54" s="6"/>
      <c r="J54" s="7"/>
      <c r="K54" s="77"/>
      <c r="L54" s="6"/>
      <c r="M54" s="7"/>
      <c r="N54" s="77"/>
      <c r="O54" s="6"/>
      <c r="P54" s="124"/>
    </row>
    <row r="55" spans="1:17" x14ac:dyDescent="0.25">
      <c r="A55" s="403"/>
      <c r="B55" s="10" t="s">
        <v>54</v>
      </c>
      <c r="C55" s="2"/>
      <c r="D55" s="327"/>
      <c r="E55" s="124"/>
      <c r="F55" s="124"/>
      <c r="G55" s="7">
        <v>3000000</v>
      </c>
      <c r="H55" s="77"/>
      <c r="I55" s="6"/>
      <c r="J55" s="207"/>
      <c r="K55" s="202"/>
      <c r="L55" s="197"/>
      <c r="M55" s="207"/>
      <c r="N55" s="202"/>
      <c r="O55" s="197"/>
      <c r="P55" s="124"/>
    </row>
    <row r="56" spans="1:17" x14ac:dyDescent="0.25">
      <c r="A56" s="1"/>
      <c r="B56" s="10" t="s">
        <v>55</v>
      </c>
      <c r="C56" s="2"/>
      <c r="D56" s="327"/>
      <c r="E56" s="124"/>
      <c r="F56" s="124"/>
      <c r="G56" s="7">
        <v>2000000</v>
      </c>
      <c r="H56" s="77"/>
      <c r="I56" s="6"/>
      <c r="J56" s="207"/>
      <c r="K56" s="202"/>
      <c r="L56" s="197"/>
      <c r="M56" s="207"/>
      <c r="N56" s="202"/>
      <c r="O56" s="197"/>
      <c r="P56" s="124"/>
    </row>
    <row r="57" spans="1:17" ht="30" x14ac:dyDescent="0.25">
      <c r="A57" s="1"/>
      <c r="B57" s="10" t="s">
        <v>56</v>
      </c>
      <c r="C57" s="2"/>
      <c r="D57" s="327"/>
      <c r="E57" s="124"/>
      <c r="F57" s="124"/>
      <c r="G57" s="7">
        <v>1500000</v>
      </c>
      <c r="H57" s="77"/>
      <c r="I57" s="6"/>
      <c r="J57" s="207"/>
      <c r="K57" s="202"/>
      <c r="L57" s="197"/>
      <c r="M57" s="207"/>
      <c r="N57" s="202"/>
      <c r="O57" s="197"/>
      <c r="P57" s="124"/>
    </row>
    <row r="58" spans="1:17" s="15" customFormat="1" ht="30.75" thickBot="1" x14ac:dyDescent="0.3">
      <c r="A58" s="42"/>
      <c r="B58" s="43" t="s">
        <v>86</v>
      </c>
      <c r="C58" s="34"/>
      <c r="D58" s="329"/>
      <c r="E58" s="125"/>
      <c r="F58" s="125"/>
      <c r="G58" s="137">
        <v>1000000</v>
      </c>
      <c r="H58" s="87"/>
      <c r="I58" s="88"/>
      <c r="J58" s="219"/>
      <c r="K58" s="220"/>
      <c r="L58" s="206"/>
      <c r="M58" s="219"/>
      <c r="N58" s="220"/>
      <c r="O58" s="206"/>
      <c r="P58" s="161"/>
    </row>
    <row r="59" spans="1:17" ht="29.25" customHeight="1" thickBot="1" x14ac:dyDescent="0.3">
      <c r="A59" s="81" t="s">
        <v>2</v>
      </c>
      <c r="B59" s="104"/>
      <c r="C59" s="81"/>
      <c r="D59" s="105"/>
      <c r="E59" s="81"/>
      <c r="F59" s="81"/>
      <c r="G59" s="61">
        <f>SUM(G44:G58)</f>
        <v>38381000</v>
      </c>
      <c r="H59" s="61">
        <f>SUM(H44:H58)-H45-H46-H47</f>
        <v>22421000</v>
      </c>
      <c r="I59" s="361">
        <f>SUM(I44:I58)-I44</f>
        <v>22103500</v>
      </c>
      <c r="J59" s="61">
        <v>0</v>
      </c>
      <c r="K59" s="61"/>
      <c r="L59" s="61"/>
      <c r="M59" s="61">
        <f>SUM(M44:M58)</f>
        <v>4000000</v>
      </c>
      <c r="N59" s="61"/>
      <c r="O59" s="361">
        <f>O49</f>
        <v>3759200</v>
      </c>
      <c r="P59" s="100"/>
    </row>
    <row r="60" spans="1:17" ht="45" customHeight="1" thickBot="1" x14ac:dyDescent="0.3">
      <c r="A60" s="460" t="s">
        <v>23</v>
      </c>
      <c r="B60" s="460"/>
      <c r="C60" s="236"/>
      <c r="D60" s="251"/>
      <c r="E60" s="236"/>
      <c r="F60" s="236"/>
      <c r="G60" s="493"/>
      <c r="H60" s="493"/>
      <c r="I60" s="493"/>
      <c r="J60" s="493"/>
      <c r="K60" s="493"/>
      <c r="L60" s="493"/>
      <c r="M60" s="493"/>
      <c r="N60" s="493"/>
      <c r="O60" s="493"/>
      <c r="P60" s="236"/>
    </row>
    <row r="61" spans="1:17" ht="42.75" customHeight="1" thickBot="1" x14ac:dyDescent="0.25">
      <c r="A61" s="500" t="s">
        <v>24</v>
      </c>
      <c r="B61" s="500"/>
      <c r="C61" s="100"/>
      <c r="D61" s="102"/>
      <c r="E61" s="100"/>
      <c r="F61" s="100"/>
      <c r="G61" s="497"/>
      <c r="H61" s="498"/>
      <c r="I61" s="499"/>
      <c r="J61" s="497"/>
      <c r="K61" s="498"/>
      <c r="L61" s="499"/>
      <c r="M61" s="497"/>
      <c r="N61" s="498"/>
      <c r="O61" s="499"/>
      <c r="P61" s="100"/>
    </row>
    <row r="62" spans="1:17" x14ac:dyDescent="0.25">
      <c r="A62" s="139"/>
      <c r="B62" s="140" t="s">
        <v>25</v>
      </c>
      <c r="C62" s="17"/>
      <c r="D62" s="326"/>
      <c r="E62" s="123"/>
      <c r="F62" s="123"/>
      <c r="G62" s="136">
        <v>429000</v>
      </c>
      <c r="H62" s="86"/>
      <c r="I62" s="85"/>
      <c r="J62" s="213"/>
      <c r="K62" s="214"/>
      <c r="L62" s="215"/>
      <c r="M62" s="213"/>
      <c r="N62" s="214"/>
      <c r="O62" s="215"/>
      <c r="P62" s="159"/>
    </row>
    <row r="63" spans="1:17" x14ac:dyDescent="0.25">
      <c r="A63" s="48"/>
      <c r="B63" s="11" t="s">
        <v>28</v>
      </c>
      <c r="C63" s="2"/>
      <c r="D63" s="327"/>
      <c r="E63" s="124"/>
      <c r="F63" s="124"/>
      <c r="G63" s="7">
        <v>317000</v>
      </c>
      <c r="H63" s="77"/>
      <c r="I63" s="6"/>
      <c r="J63" s="207"/>
      <c r="K63" s="202"/>
      <c r="L63" s="197"/>
      <c r="M63" s="207"/>
      <c r="N63" s="202"/>
      <c r="O63" s="197"/>
      <c r="P63" s="124"/>
    </row>
    <row r="64" spans="1:17" x14ac:dyDescent="0.25">
      <c r="A64" s="48"/>
      <c r="B64" s="11" t="s">
        <v>29</v>
      </c>
      <c r="C64" s="2"/>
      <c r="D64" s="327"/>
      <c r="E64" s="124"/>
      <c r="F64" s="124"/>
      <c r="G64" s="7">
        <v>317000</v>
      </c>
      <c r="H64" s="77"/>
      <c r="I64" s="6"/>
      <c r="J64" s="207"/>
      <c r="K64" s="202"/>
      <c r="L64" s="197"/>
      <c r="M64" s="207"/>
      <c r="N64" s="202"/>
      <c r="O64" s="197"/>
      <c r="P64" s="124"/>
    </row>
    <row r="65" spans="1:17" ht="30" x14ac:dyDescent="0.2">
      <c r="A65" s="48"/>
      <c r="B65" s="257" t="s">
        <v>128</v>
      </c>
      <c r="C65" s="2"/>
      <c r="D65" s="327"/>
      <c r="E65" s="124"/>
      <c r="F65" s="124"/>
      <c r="G65" s="418">
        <f>1140000+184671</f>
        <v>1324671</v>
      </c>
      <c r="H65" s="288">
        <v>1324671</v>
      </c>
      <c r="I65" s="6">
        <v>1324671</v>
      </c>
      <c r="J65" s="207"/>
      <c r="K65" s="202"/>
      <c r="L65" s="197"/>
      <c r="M65" s="207"/>
      <c r="N65" s="202"/>
      <c r="O65" s="197"/>
      <c r="P65" s="124"/>
      <c r="Q65" s="27" t="s">
        <v>129</v>
      </c>
    </row>
    <row r="66" spans="1:17" s="448" customFormat="1" ht="30" x14ac:dyDescent="0.25">
      <c r="A66" s="132"/>
      <c r="B66" s="447" t="s">
        <v>230</v>
      </c>
      <c r="C66" s="133"/>
      <c r="D66" s="330" t="s">
        <v>244</v>
      </c>
      <c r="E66" s="134"/>
      <c r="F66" s="134"/>
      <c r="G66" s="427">
        <v>1958000</v>
      </c>
      <c r="H66" s="426">
        <v>2553274</v>
      </c>
      <c r="I66" s="377">
        <v>2553274</v>
      </c>
      <c r="J66" s="135"/>
      <c r="K66" s="138"/>
      <c r="L66" s="377"/>
      <c r="M66" s="135"/>
      <c r="N66" s="138"/>
      <c r="O66" s="377"/>
      <c r="P66" s="134"/>
    </row>
    <row r="67" spans="1:17" s="448" customFormat="1" ht="30" x14ac:dyDescent="0.25">
      <c r="A67" s="132"/>
      <c r="B67" s="447" t="s">
        <v>231</v>
      </c>
      <c r="C67" s="133"/>
      <c r="D67" s="330" t="s">
        <v>244</v>
      </c>
      <c r="E67" s="134"/>
      <c r="F67" s="134"/>
      <c r="G67" s="449">
        <v>3656000</v>
      </c>
      <c r="H67" s="450">
        <v>3124051</v>
      </c>
      <c r="I67" s="377">
        <v>3124051</v>
      </c>
      <c r="J67" s="135"/>
      <c r="K67" s="138"/>
      <c r="L67" s="377"/>
      <c r="M67" s="135"/>
      <c r="N67" s="138"/>
      <c r="O67" s="377"/>
      <c r="P67" s="134"/>
    </row>
    <row r="68" spans="1:17" x14ac:dyDescent="0.25">
      <c r="A68" s="1"/>
      <c r="B68" s="11" t="s">
        <v>87</v>
      </c>
      <c r="C68" s="2"/>
      <c r="D68" s="327"/>
      <c r="E68" s="124"/>
      <c r="F68" s="124"/>
      <c r="G68" s="7">
        <v>2186000</v>
      </c>
      <c r="H68" s="77"/>
      <c r="I68" s="6"/>
      <c r="J68" s="207"/>
      <c r="K68" s="202"/>
      <c r="L68" s="197"/>
      <c r="M68" s="207"/>
      <c r="N68" s="202"/>
      <c r="O68" s="197"/>
      <c r="P68" s="124"/>
    </row>
    <row r="69" spans="1:17" x14ac:dyDescent="0.25">
      <c r="A69" s="1"/>
      <c r="B69" s="11" t="s">
        <v>33</v>
      </c>
      <c r="C69" s="2"/>
      <c r="D69" s="327"/>
      <c r="E69" s="124"/>
      <c r="F69" s="124"/>
      <c r="G69" s="7">
        <v>2716000</v>
      </c>
      <c r="H69" s="77"/>
      <c r="I69" s="6"/>
      <c r="J69" s="207"/>
      <c r="K69" s="202"/>
      <c r="L69" s="197"/>
      <c r="M69" s="207"/>
      <c r="N69" s="202"/>
      <c r="O69" s="197"/>
      <c r="P69" s="124"/>
    </row>
    <row r="70" spans="1:17" s="448" customFormat="1" ht="30" x14ac:dyDescent="0.25">
      <c r="A70" s="132"/>
      <c r="B70" s="142" t="s">
        <v>232</v>
      </c>
      <c r="C70" s="133"/>
      <c r="D70" s="330" t="s">
        <v>244</v>
      </c>
      <c r="E70" s="134"/>
      <c r="F70" s="134"/>
      <c r="G70" s="135"/>
      <c r="H70" s="138"/>
      <c r="I70" s="377"/>
      <c r="J70" s="135"/>
      <c r="K70" s="138"/>
      <c r="L70" s="377"/>
      <c r="M70" s="449">
        <v>219000</v>
      </c>
      <c r="N70" s="450">
        <v>72107</v>
      </c>
      <c r="O70" s="377">
        <v>72107</v>
      </c>
      <c r="P70" s="134"/>
    </row>
    <row r="71" spans="1:17" x14ac:dyDescent="0.25">
      <c r="A71" s="1"/>
      <c r="B71" s="10" t="s">
        <v>35</v>
      </c>
      <c r="C71" s="2"/>
      <c r="D71" s="327"/>
      <c r="E71" s="124"/>
      <c r="F71" s="124"/>
      <c r="G71" s="7">
        <v>1000000</v>
      </c>
      <c r="H71" s="77"/>
      <c r="I71" s="6"/>
      <c r="J71" s="207"/>
      <c r="K71" s="202"/>
      <c r="L71" s="197"/>
      <c r="M71" s="207"/>
      <c r="N71" s="202"/>
      <c r="O71" s="197"/>
      <c r="P71" s="124"/>
    </row>
    <row r="72" spans="1:17" s="448" customFormat="1" ht="30" x14ac:dyDescent="0.25">
      <c r="A72" s="132"/>
      <c r="B72" s="142" t="s">
        <v>233</v>
      </c>
      <c r="C72" s="133"/>
      <c r="D72" s="330" t="s">
        <v>244</v>
      </c>
      <c r="E72" s="134"/>
      <c r="F72" s="134"/>
      <c r="G72" s="135"/>
      <c r="H72" s="138"/>
      <c r="I72" s="377"/>
      <c r="J72" s="135"/>
      <c r="K72" s="138"/>
      <c r="L72" s="377"/>
      <c r="M72" s="449">
        <v>1000000</v>
      </c>
      <c r="N72" s="450">
        <v>254472</v>
      </c>
      <c r="O72" s="377">
        <v>254472</v>
      </c>
      <c r="P72" s="134"/>
    </row>
    <row r="73" spans="1:17" ht="30" x14ac:dyDescent="0.25">
      <c r="A73" s="1"/>
      <c r="B73" s="10" t="s">
        <v>37</v>
      </c>
      <c r="C73" s="2"/>
      <c r="D73" s="330" t="s">
        <v>244</v>
      </c>
      <c r="E73" s="124" t="s">
        <v>245</v>
      </c>
      <c r="F73" s="124" t="s">
        <v>246</v>
      </c>
      <c r="G73" s="263">
        <v>800000</v>
      </c>
      <c r="H73" s="260">
        <v>837194</v>
      </c>
      <c r="I73" s="6">
        <v>837194</v>
      </c>
      <c r="J73" s="207"/>
      <c r="K73" s="202"/>
      <c r="L73" s="197"/>
      <c r="M73" s="207"/>
      <c r="N73" s="202"/>
      <c r="O73" s="197"/>
      <c r="P73" s="124"/>
    </row>
    <row r="74" spans="1:17" s="448" customFormat="1" ht="30" x14ac:dyDescent="0.25">
      <c r="A74" s="132"/>
      <c r="B74" s="142" t="s">
        <v>234</v>
      </c>
      <c r="C74" s="133"/>
      <c r="D74" s="330" t="s">
        <v>244</v>
      </c>
      <c r="E74" s="134"/>
      <c r="F74" s="134"/>
      <c r="G74" s="135"/>
      <c r="H74" s="138"/>
      <c r="I74" s="377"/>
      <c r="J74" s="135"/>
      <c r="K74" s="138"/>
      <c r="L74" s="377"/>
      <c r="M74" s="449">
        <v>1000000</v>
      </c>
      <c r="N74" s="450">
        <v>443620</v>
      </c>
      <c r="O74" s="377">
        <v>443620</v>
      </c>
      <c r="P74" s="134"/>
    </row>
    <row r="75" spans="1:17" x14ac:dyDescent="0.25">
      <c r="A75" s="1"/>
      <c r="B75" s="10" t="s">
        <v>88</v>
      </c>
      <c r="C75" s="2"/>
      <c r="D75" s="327"/>
      <c r="E75" s="124"/>
      <c r="F75" s="124"/>
      <c r="G75" s="207"/>
      <c r="H75" s="202"/>
      <c r="I75" s="197"/>
      <c r="J75" s="207"/>
      <c r="K75" s="202"/>
      <c r="L75" s="197"/>
      <c r="M75" s="7">
        <v>1500000</v>
      </c>
      <c r="N75" s="77"/>
      <c r="O75" s="6"/>
      <c r="P75" s="124"/>
    </row>
    <row r="76" spans="1:17" s="448" customFormat="1" ht="30" x14ac:dyDescent="0.25">
      <c r="A76" s="132"/>
      <c r="B76" s="142" t="s">
        <v>235</v>
      </c>
      <c r="C76" s="133"/>
      <c r="D76" s="330"/>
      <c r="E76" s="134"/>
      <c r="F76" s="134"/>
      <c r="G76" s="135"/>
      <c r="H76" s="138"/>
      <c r="I76" s="377"/>
      <c r="J76" s="135"/>
      <c r="K76" s="138"/>
      <c r="L76" s="377"/>
      <c r="M76" s="427">
        <v>300000</v>
      </c>
      <c r="N76" s="426">
        <v>304800</v>
      </c>
      <c r="O76" s="377">
        <v>304800</v>
      </c>
      <c r="P76" s="134"/>
    </row>
    <row r="77" spans="1:17" s="448" customFormat="1" ht="30" x14ac:dyDescent="0.25">
      <c r="A77" s="132"/>
      <c r="B77" s="142" t="s">
        <v>236</v>
      </c>
      <c r="C77" s="133"/>
      <c r="D77" s="330"/>
      <c r="E77" s="134"/>
      <c r="F77" s="134"/>
      <c r="G77" s="135"/>
      <c r="H77" s="138"/>
      <c r="I77" s="377"/>
      <c r="J77" s="135"/>
      <c r="K77" s="138"/>
      <c r="L77" s="377"/>
      <c r="M77" s="427">
        <v>350000</v>
      </c>
      <c r="N77" s="426">
        <v>902970</v>
      </c>
      <c r="O77" s="377">
        <v>902970</v>
      </c>
      <c r="P77" s="134"/>
    </row>
    <row r="78" spans="1:17" x14ac:dyDescent="0.25">
      <c r="A78" s="1"/>
      <c r="B78" s="10" t="s">
        <v>41</v>
      </c>
      <c r="C78" s="2"/>
      <c r="D78" s="327"/>
      <c r="E78" s="124"/>
      <c r="F78" s="124"/>
      <c r="G78" s="207"/>
      <c r="H78" s="202"/>
      <c r="I78" s="197"/>
      <c r="J78" s="207"/>
      <c r="K78" s="202"/>
      <c r="L78" s="197"/>
      <c r="M78" s="7">
        <v>350000</v>
      </c>
      <c r="N78" s="77"/>
      <c r="O78" s="6"/>
      <c r="P78" s="124"/>
    </row>
    <row r="79" spans="1:17" s="448" customFormat="1" ht="30" x14ac:dyDescent="0.25">
      <c r="A79" s="132"/>
      <c r="B79" s="142" t="s">
        <v>243</v>
      </c>
      <c r="C79" s="133"/>
      <c r="D79" s="330" t="s">
        <v>244</v>
      </c>
      <c r="E79" s="134"/>
      <c r="F79" s="134"/>
      <c r="G79" s="135"/>
      <c r="H79" s="138"/>
      <c r="I79" s="377"/>
      <c r="J79" s="135"/>
      <c r="K79" s="138"/>
      <c r="L79" s="377"/>
      <c r="M79" s="130">
        <v>300000</v>
      </c>
      <c r="N79" s="450">
        <v>114300</v>
      </c>
      <c r="O79" s="377">
        <v>114300</v>
      </c>
      <c r="P79" s="134"/>
    </row>
    <row r="80" spans="1:17" ht="15" customHeight="1" x14ac:dyDescent="0.25">
      <c r="A80" s="489" t="s">
        <v>139</v>
      </c>
      <c r="B80" s="10" t="s">
        <v>167</v>
      </c>
      <c r="C80" s="379"/>
      <c r="D80" s="327"/>
      <c r="E80" s="124"/>
      <c r="F80" s="124"/>
      <c r="G80" s="418">
        <f>600000+1500000+1350294</f>
        <v>3450294</v>
      </c>
      <c r="H80" s="77"/>
      <c r="I80" s="6"/>
      <c r="J80" s="207"/>
      <c r="K80" s="202"/>
      <c r="L80" s="197"/>
      <c r="M80" s="207"/>
      <c r="N80" s="202"/>
      <c r="O80" s="197"/>
      <c r="P80" s="124"/>
      <c r="Q80" s="27"/>
    </row>
    <row r="81" spans="1:16" x14ac:dyDescent="0.25">
      <c r="A81" s="490"/>
      <c r="B81" s="343" t="s">
        <v>137</v>
      </c>
      <c r="C81" s="379"/>
      <c r="D81" s="327" t="s">
        <v>187</v>
      </c>
      <c r="E81" s="124" t="s">
        <v>138</v>
      </c>
      <c r="F81" s="124" t="s">
        <v>188</v>
      </c>
      <c r="G81" s="7"/>
      <c r="H81" s="138">
        <v>871538</v>
      </c>
      <c r="I81" s="377">
        <v>871538</v>
      </c>
      <c r="J81" s="207"/>
      <c r="K81" s="202"/>
      <c r="L81" s="197"/>
      <c r="M81" s="207"/>
      <c r="N81" s="202"/>
      <c r="O81" s="197"/>
      <c r="P81" s="270">
        <v>44418</v>
      </c>
    </row>
    <row r="82" spans="1:16" x14ac:dyDescent="0.25">
      <c r="A82" s="490"/>
      <c r="B82" s="343" t="s">
        <v>145</v>
      </c>
      <c r="C82" s="379"/>
      <c r="D82" s="327" t="s">
        <v>190</v>
      </c>
      <c r="E82" s="124" t="s">
        <v>146</v>
      </c>
      <c r="F82" s="124"/>
      <c r="G82" s="7"/>
      <c r="H82" s="77">
        <v>1283259</v>
      </c>
      <c r="I82" s="377">
        <v>1283259</v>
      </c>
      <c r="J82" s="207"/>
      <c r="K82" s="202"/>
      <c r="L82" s="197"/>
      <c r="M82" s="207"/>
      <c r="N82" s="202"/>
      <c r="O82" s="197"/>
      <c r="P82" s="270">
        <v>44435</v>
      </c>
    </row>
    <row r="83" spans="1:16" x14ac:dyDescent="0.25">
      <c r="A83" s="490"/>
      <c r="B83" s="343" t="s">
        <v>176</v>
      </c>
      <c r="C83" s="379"/>
      <c r="D83" s="327" t="s">
        <v>177</v>
      </c>
      <c r="E83" s="124" t="s">
        <v>178</v>
      </c>
      <c r="F83" s="124" t="s">
        <v>179</v>
      </c>
      <c r="G83" s="7"/>
      <c r="H83" s="77">
        <v>503319</v>
      </c>
      <c r="I83" s="6">
        <v>503319</v>
      </c>
      <c r="J83" s="207"/>
      <c r="K83" s="202"/>
      <c r="L83" s="197"/>
      <c r="M83" s="207"/>
      <c r="N83" s="202"/>
      <c r="O83" s="197"/>
      <c r="P83" s="270">
        <v>44460</v>
      </c>
    </row>
    <row r="84" spans="1:16" x14ac:dyDescent="0.25">
      <c r="A84" s="490"/>
      <c r="B84" s="343" t="s">
        <v>201</v>
      </c>
      <c r="C84" s="379"/>
      <c r="D84" s="327" t="s">
        <v>202</v>
      </c>
      <c r="E84" s="124" t="s">
        <v>203</v>
      </c>
      <c r="F84" s="124" t="s">
        <v>204</v>
      </c>
      <c r="G84" s="7"/>
      <c r="H84" s="77">
        <v>411480</v>
      </c>
      <c r="I84" s="6">
        <v>411480</v>
      </c>
      <c r="J84" s="207"/>
      <c r="K84" s="202"/>
      <c r="L84" s="197"/>
      <c r="M84" s="207"/>
      <c r="N84" s="202"/>
      <c r="O84" s="197"/>
      <c r="P84" s="124"/>
    </row>
    <row r="85" spans="1:16" x14ac:dyDescent="0.25">
      <c r="A85" s="490"/>
      <c r="B85" s="343" t="s">
        <v>191</v>
      </c>
      <c r="C85" s="379"/>
      <c r="D85" s="327"/>
      <c r="E85" s="124"/>
      <c r="F85" s="124"/>
      <c r="G85" s="7"/>
      <c r="H85" s="77">
        <v>170198</v>
      </c>
      <c r="I85" s="6"/>
      <c r="J85" s="207"/>
      <c r="K85" s="202"/>
      <c r="L85" s="197"/>
      <c r="M85" s="207"/>
      <c r="N85" s="202"/>
      <c r="O85" s="197"/>
      <c r="P85" s="124"/>
    </row>
    <row r="86" spans="1:16" x14ac:dyDescent="0.25">
      <c r="A86" s="490"/>
      <c r="B86" s="343" t="s">
        <v>192</v>
      </c>
      <c r="C86" s="379"/>
      <c r="D86" s="327"/>
      <c r="E86" s="124"/>
      <c r="F86" s="124"/>
      <c r="G86" s="7"/>
      <c r="H86" s="77">
        <v>20000</v>
      </c>
      <c r="I86" s="6"/>
      <c r="J86" s="207"/>
      <c r="K86" s="202"/>
      <c r="L86" s="197"/>
      <c r="M86" s="207"/>
      <c r="N86" s="202"/>
      <c r="O86" s="197"/>
      <c r="P86" s="124"/>
    </row>
    <row r="87" spans="1:16" x14ac:dyDescent="0.25">
      <c r="A87" s="490"/>
      <c r="B87" s="343" t="s">
        <v>193</v>
      </c>
      <c r="C87" s="379"/>
      <c r="D87" s="327"/>
      <c r="E87" s="124"/>
      <c r="F87" s="124"/>
      <c r="G87" s="7"/>
      <c r="H87" s="77">
        <v>76200</v>
      </c>
      <c r="I87" s="6"/>
      <c r="J87" s="207"/>
      <c r="K87" s="202"/>
      <c r="L87" s="197"/>
      <c r="M87" s="207"/>
      <c r="N87" s="202"/>
      <c r="O87" s="197"/>
      <c r="P87" s="124"/>
    </row>
    <row r="88" spans="1:16" x14ac:dyDescent="0.25">
      <c r="A88" s="490"/>
      <c r="B88" s="343" t="s">
        <v>197</v>
      </c>
      <c r="C88" s="379"/>
      <c r="D88" s="327" t="s">
        <v>198</v>
      </c>
      <c r="E88" s="124"/>
      <c r="F88" s="124" t="s">
        <v>199</v>
      </c>
      <c r="G88" s="7"/>
      <c r="H88" s="77">
        <v>57150</v>
      </c>
      <c r="I88" s="6">
        <v>57150</v>
      </c>
      <c r="J88" s="207"/>
      <c r="K88" s="202"/>
      <c r="L88" s="197"/>
      <c r="M88" s="207"/>
      <c r="N88" s="202"/>
      <c r="O88" s="197"/>
      <c r="P88" s="124"/>
    </row>
    <row r="89" spans="1:16" x14ac:dyDescent="0.25">
      <c r="A89" s="491"/>
      <c r="B89" s="261"/>
      <c r="C89" s="379"/>
      <c r="D89" s="327"/>
      <c r="E89" s="124"/>
      <c r="F89" s="124" t="s">
        <v>200</v>
      </c>
      <c r="G89" s="7"/>
      <c r="H89" s="77">
        <v>57150</v>
      </c>
      <c r="I89" s="6">
        <v>57150</v>
      </c>
      <c r="J89" s="207"/>
      <c r="K89" s="202"/>
      <c r="L89" s="197"/>
      <c r="M89" s="207"/>
      <c r="N89" s="202"/>
      <c r="O89" s="197"/>
      <c r="P89" s="124"/>
    </row>
    <row r="90" spans="1:16" x14ac:dyDescent="0.25">
      <c r="A90" s="1"/>
      <c r="B90" s="16" t="s">
        <v>43</v>
      </c>
      <c r="C90" s="2"/>
      <c r="D90" s="327" t="s">
        <v>205</v>
      </c>
      <c r="E90" s="124" t="s">
        <v>206</v>
      </c>
      <c r="F90" s="124" t="s">
        <v>207</v>
      </c>
      <c r="G90" s="425">
        <f>500000+485128</f>
        <v>985128</v>
      </c>
      <c r="H90" s="260">
        <v>985476</v>
      </c>
      <c r="I90" s="6">
        <v>985476</v>
      </c>
      <c r="J90" s="207"/>
      <c r="K90" s="202"/>
      <c r="L90" s="197"/>
      <c r="M90" s="207"/>
      <c r="N90" s="202"/>
      <c r="O90" s="197"/>
      <c r="P90" s="124"/>
    </row>
    <row r="91" spans="1:16" x14ac:dyDescent="0.25">
      <c r="A91" s="1"/>
      <c r="B91" s="10" t="s">
        <v>44</v>
      </c>
      <c r="C91" s="2"/>
      <c r="D91" s="327"/>
      <c r="E91" s="124"/>
      <c r="F91" s="124"/>
      <c r="G91" s="7">
        <v>500000</v>
      </c>
      <c r="H91" s="77"/>
      <c r="I91" s="6"/>
      <c r="J91" s="207"/>
      <c r="K91" s="202"/>
      <c r="L91" s="197"/>
      <c r="M91" s="207"/>
      <c r="N91" s="202"/>
      <c r="O91" s="197"/>
      <c r="P91" s="124"/>
    </row>
    <row r="92" spans="1:16" ht="15.75" thickBot="1" x14ac:dyDescent="0.3">
      <c r="A92" s="42"/>
      <c r="B92" s="43"/>
      <c r="C92" s="34"/>
      <c r="D92" s="329"/>
      <c r="E92" s="125"/>
      <c r="F92" s="125"/>
      <c r="G92" s="137"/>
      <c r="H92" s="87"/>
      <c r="I92" s="88"/>
      <c r="J92" s="219"/>
      <c r="K92" s="220"/>
      <c r="L92" s="206"/>
      <c r="M92" s="219"/>
      <c r="N92" s="220"/>
      <c r="O92" s="206"/>
      <c r="P92" s="160"/>
    </row>
    <row r="93" spans="1:16" s="14" customFormat="1" ht="46.9" customHeight="1" thickBot="1" x14ac:dyDescent="0.3">
      <c r="A93" s="81" t="s">
        <v>2</v>
      </c>
      <c r="B93" s="121"/>
      <c r="C93" s="98"/>
      <c r="D93" s="97"/>
      <c r="E93" s="98"/>
      <c r="F93" s="98"/>
      <c r="G93" s="75">
        <f>SUM(G62:G92)</f>
        <v>19639093</v>
      </c>
      <c r="H93" s="75">
        <f t="shared" ref="H93:O93" si="1">SUM(H62:H92)</f>
        <v>12274960</v>
      </c>
      <c r="I93" s="75">
        <f t="shared" si="1"/>
        <v>12008562</v>
      </c>
      <c r="J93" s="75">
        <f t="shared" si="1"/>
        <v>0</v>
      </c>
      <c r="K93" s="75">
        <f t="shared" si="1"/>
        <v>0</v>
      </c>
      <c r="L93" s="75">
        <f t="shared" si="1"/>
        <v>0</v>
      </c>
      <c r="M93" s="75">
        <f t="shared" si="1"/>
        <v>5019000</v>
      </c>
      <c r="N93" s="75">
        <f t="shared" si="1"/>
        <v>2092269</v>
      </c>
      <c r="O93" s="75">
        <f t="shared" si="1"/>
        <v>2092269</v>
      </c>
      <c r="P93" s="98"/>
    </row>
    <row r="94" spans="1:16" s="15" customFormat="1" ht="47.25" customHeight="1" thickBot="1" x14ac:dyDescent="0.3">
      <c r="A94" s="81" t="s">
        <v>3</v>
      </c>
      <c r="B94" s="99">
        <f>G94+J94+M94-354500</f>
        <v>185813000</v>
      </c>
      <c r="C94" s="81"/>
      <c r="D94" s="105"/>
      <c r="E94" s="81"/>
      <c r="F94" s="81"/>
      <c r="G94" s="75">
        <f>G18+G42+G59+G93</f>
        <v>164721751</v>
      </c>
      <c r="H94" s="75">
        <f>H18+H42+H59+H93</f>
        <v>47185230.990000002</v>
      </c>
      <c r="I94" s="75">
        <f>I18+I42+I59+I93</f>
        <v>45531446</v>
      </c>
      <c r="J94" s="61">
        <f>J18+J42+J59+J93-J42</f>
        <v>11175799</v>
      </c>
      <c r="K94" s="61">
        <f>K18+K42+K59+K93-K42</f>
        <v>11175799</v>
      </c>
      <c r="L94" s="61">
        <f>L18+L42+L59+L93-L42</f>
        <v>11175799</v>
      </c>
      <c r="M94" s="61">
        <f>M18+M42+M59+M93</f>
        <v>10269950</v>
      </c>
      <c r="N94" s="61">
        <f>N18+N42+N59+N93</f>
        <v>3343219</v>
      </c>
      <c r="O94" s="61">
        <f>O18+O42+O59+O93</f>
        <v>7102419</v>
      </c>
      <c r="P94" s="162"/>
    </row>
    <row r="95" spans="1:16" x14ac:dyDescent="0.25">
      <c r="A95" s="477"/>
      <c r="B95" s="479"/>
      <c r="C95" s="50"/>
      <c r="D95" s="49"/>
      <c r="E95" s="50"/>
      <c r="F95" s="50"/>
      <c r="G95" s="70"/>
      <c r="H95" s="50"/>
      <c r="I95" s="50"/>
      <c r="J95" s="70"/>
      <c r="K95" s="50"/>
      <c r="L95" s="50"/>
      <c r="M95" s="70"/>
      <c r="N95" s="50"/>
      <c r="O95" s="50"/>
      <c r="P95" s="163"/>
    </row>
    <row r="96" spans="1:16" ht="19.5" thickBot="1" x14ac:dyDescent="0.3">
      <c r="A96" s="505"/>
      <c r="B96" s="506"/>
      <c r="C96" s="52"/>
      <c r="D96" s="51"/>
      <c r="E96" s="52"/>
      <c r="F96" s="52"/>
      <c r="G96" s="52"/>
      <c r="H96" s="52"/>
      <c r="I96" s="52"/>
      <c r="J96" s="53"/>
      <c r="K96" s="54"/>
      <c r="L96" s="54"/>
      <c r="M96" s="54"/>
      <c r="N96" s="53"/>
      <c r="O96" s="53"/>
      <c r="P96" s="164"/>
    </row>
    <row r="99" spans="1:6" ht="30" x14ac:dyDescent="0.25">
      <c r="A99" s="443" t="s">
        <v>237</v>
      </c>
      <c r="B99" s="300" t="s">
        <v>238</v>
      </c>
      <c r="C99" s="4"/>
      <c r="D99" s="300" t="s">
        <v>239</v>
      </c>
      <c r="E99" s="300" t="s">
        <v>240</v>
      </c>
      <c r="F99" s="4" t="s">
        <v>241</v>
      </c>
    </row>
    <row r="100" spans="1:6" x14ac:dyDescent="0.25">
      <c r="A100" s="443"/>
      <c r="B100" s="10" t="s">
        <v>230</v>
      </c>
      <c r="C100" s="4"/>
      <c r="D100" s="260">
        <v>1958000</v>
      </c>
      <c r="E100" s="260">
        <v>2553274</v>
      </c>
      <c r="F100" s="77">
        <f>D100-E100</f>
        <v>-595274</v>
      </c>
    </row>
    <row r="101" spans="1:6" x14ac:dyDescent="0.25">
      <c r="B101" s="10" t="s">
        <v>231</v>
      </c>
      <c r="C101" s="4"/>
      <c r="D101" s="442">
        <v>3656000</v>
      </c>
      <c r="E101" s="442">
        <v>3124051</v>
      </c>
      <c r="F101" s="77">
        <f t="shared" ref="F101:F107" si="2">D101-E101</f>
        <v>531949</v>
      </c>
    </row>
    <row r="102" spans="1:6" x14ac:dyDescent="0.25">
      <c r="B102" s="10" t="s">
        <v>232</v>
      </c>
      <c r="C102" s="4"/>
      <c r="D102" s="442">
        <v>219000</v>
      </c>
      <c r="E102" s="442">
        <v>72107</v>
      </c>
      <c r="F102" s="77">
        <f t="shared" si="2"/>
        <v>146893</v>
      </c>
    </row>
    <row r="103" spans="1:6" x14ac:dyDescent="0.25">
      <c r="B103" s="10" t="s">
        <v>233</v>
      </c>
      <c r="C103" s="4"/>
      <c r="D103" s="442">
        <v>1000000</v>
      </c>
      <c r="E103" s="442">
        <v>254472</v>
      </c>
      <c r="F103" s="77">
        <f t="shared" si="2"/>
        <v>745528</v>
      </c>
    </row>
    <row r="104" spans="1:6" x14ac:dyDescent="0.25">
      <c r="B104" s="10" t="s">
        <v>234</v>
      </c>
      <c r="C104" s="4"/>
      <c r="D104" s="442">
        <v>1000000</v>
      </c>
      <c r="E104" s="442">
        <v>443620</v>
      </c>
      <c r="F104" s="77">
        <f t="shared" si="2"/>
        <v>556380</v>
      </c>
    </row>
    <row r="105" spans="1:6" ht="30" x14ac:dyDescent="0.25">
      <c r="B105" s="10" t="s">
        <v>235</v>
      </c>
      <c r="C105" s="4"/>
      <c r="D105" s="260">
        <v>300000</v>
      </c>
      <c r="E105" s="260">
        <v>304800</v>
      </c>
      <c r="F105" s="77">
        <f t="shared" si="2"/>
        <v>-4800</v>
      </c>
    </row>
    <row r="106" spans="1:6" ht="30" x14ac:dyDescent="0.25">
      <c r="B106" s="10" t="s">
        <v>236</v>
      </c>
      <c r="C106" s="4"/>
      <c r="D106" s="260">
        <v>350000</v>
      </c>
      <c r="E106" s="260">
        <v>902970</v>
      </c>
      <c r="F106" s="77">
        <f t="shared" si="2"/>
        <v>-552970</v>
      </c>
    </row>
    <row r="107" spans="1:6" ht="30" x14ac:dyDescent="0.25">
      <c r="B107" s="142" t="s">
        <v>243</v>
      </c>
      <c r="C107" s="4"/>
      <c r="D107" s="449">
        <v>300000</v>
      </c>
      <c r="E107" s="450">
        <v>114300</v>
      </c>
      <c r="F107" s="77">
        <f t="shared" si="2"/>
        <v>185700</v>
      </c>
    </row>
    <row r="108" spans="1:6" x14ac:dyDescent="0.25">
      <c r="D108" s="444">
        <f>SUM(D100:D107)</f>
        <v>8783000</v>
      </c>
      <c r="E108" s="264">
        <f>SUM(E100:E107)</f>
        <v>7769594</v>
      </c>
      <c r="F108" s="445">
        <f>SUM(F100:F107)</f>
        <v>1013406</v>
      </c>
    </row>
  </sheetData>
  <mergeCells count="32">
    <mergeCell ref="A30:A31"/>
    <mergeCell ref="A27:A29"/>
    <mergeCell ref="A95:B96"/>
    <mergeCell ref="A1:O1"/>
    <mergeCell ref="A3:A4"/>
    <mergeCell ref="B3:B4"/>
    <mergeCell ref="C3:C4"/>
    <mergeCell ref="E3:E4"/>
    <mergeCell ref="F3:F4"/>
    <mergeCell ref="J3:L3"/>
    <mergeCell ref="M3:O3"/>
    <mergeCell ref="G3:I3"/>
    <mergeCell ref="J5:K5"/>
    <mergeCell ref="M5:N5"/>
    <mergeCell ref="J6:K6"/>
    <mergeCell ref="M6:N6"/>
    <mergeCell ref="A80:A89"/>
    <mergeCell ref="A6:B6"/>
    <mergeCell ref="A19:B19"/>
    <mergeCell ref="J60:L60"/>
    <mergeCell ref="M60:O60"/>
    <mergeCell ref="G19:H19"/>
    <mergeCell ref="J19:K19"/>
    <mergeCell ref="M19:N19"/>
    <mergeCell ref="A20:A22"/>
    <mergeCell ref="G61:I61"/>
    <mergeCell ref="J61:L61"/>
    <mergeCell ref="M61:O61"/>
    <mergeCell ref="A61:B61"/>
    <mergeCell ref="A43:B43"/>
    <mergeCell ref="A60:B60"/>
    <mergeCell ref="G60:I60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57" orientation="portrait" r:id="rId1"/>
  <headerFooter>
    <oddHeader>&amp;L&amp;12Martonvásár Város Önkormányzata&amp;C&amp;"-,Félkövér"&amp;12LÉTESÍTMÉNYGAZDÁLKODÁS KÖZÉPTÁVÚ KONCEPCIÓJA</oddHeader>
    <oddFooter>&amp;R&amp;P</oddFooter>
  </headerFooter>
  <rowBreaks count="1" manualBreakCount="1">
    <brk id="4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3</vt:i4>
      </vt:variant>
    </vt:vector>
  </HeadingPairs>
  <TitlesOfParts>
    <vt:vector size="5" baseType="lpstr">
      <vt:lpstr>Összesítő táblázat</vt:lpstr>
      <vt:lpstr>Részletező táblázat</vt:lpstr>
      <vt:lpstr>'Összesítő táblázat'!Nyomtatási_cím</vt:lpstr>
      <vt:lpstr>'Részletező táblázat'!Nyomtatási_cím</vt:lpstr>
      <vt:lpstr>'Összesítő táblázat'!Nyomtatási_terület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Felhasználó</cp:lastModifiedBy>
  <cp:lastPrinted>2021-10-12T09:25:07Z</cp:lastPrinted>
  <dcterms:created xsi:type="dcterms:W3CDTF">2020-11-14T19:29:54Z</dcterms:created>
  <dcterms:modified xsi:type="dcterms:W3CDTF">2021-11-25T13:17:19Z</dcterms:modified>
</cp:coreProperties>
</file>