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1\KT\20211214\"/>
    </mc:Choice>
  </mc:AlternateContent>
  <bookViews>
    <workbookView xWindow="0" yWindow="0" windowWidth="20490" windowHeight="7755" tabRatio="895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state="hidden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state="hidden" r:id="rId21"/>
    <sheet name="7.mell. Beruházás" sheetId="19" r:id="rId22"/>
    <sheet name="8.mell. Felújítás" sheetId="20" r:id="rId23"/>
    <sheet name="9.mell. Létszámok" sheetId="21" r:id="rId24"/>
    <sheet name="12.d Tételes mód BBK" sheetId="56" state="hidden" r:id="rId25"/>
    <sheet name="Táj 1. Több éves kihat" sheetId="29" r:id="rId26"/>
    <sheet name="Táj 2. Ei felh. - likvid.terv" sheetId="30" r:id="rId27"/>
    <sheet name="Táj 3. Konszolidált módosítás" sheetId="57" r:id="rId28"/>
    <sheet name="Táj 3.1. Tételes mód ÖNK" sheetId="53" r:id="rId29"/>
    <sheet name="Táj 3.2. Tételes mód PH" sheetId="54" r:id="rId30"/>
    <sheet name="Táj 3.3. Tételes mód Óvoda" sheetId="55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8" hidden="1">'Táj 3.1. Tételes mód ÖNK'!$A$4:$AO$4</definedName>
    <definedName name="kst" localSheetId="24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>#REF!</definedName>
    <definedName name="nev" localSheetId="7">[1]kod!$CD$8:$CD$3150</definedName>
    <definedName name="nev" localSheetId="8">[1]kod!$CD$8:$CD$3150</definedName>
    <definedName name="nev">[2]kod!$CD$8:$CD$3150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Titles" localSheetId="27">'Táj 3. Konszolidált módosítás'!$A:$B</definedName>
    <definedName name="_xlnm.Print_Titles" localSheetId="28">'Táj 3.1. Tételes mód ÖNK'!$A:$C</definedName>
    <definedName name="_xlnm.Print_Area" localSheetId="1">'1.mell. Mérleg'!$A$1:$E$56</definedName>
    <definedName name="_xlnm.Print_Area" localSheetId="27">'Táj 3. Konszolidált módosítás'!$A$1:$AJ$12</definedName>
    <definedName name="onev" localSheetId="7">[3]kod!$BT$34:$BT$3184</definedName>
    <definedName name="onev" localSheetId="8">[3]kod!$BT$34:$BT$3184</definedName>
    <definedName name="onev">[4]kod!$BT$34:$BT$3184</definedName>
    <definedName name="v">#REF!</definedName>
    <definedName name="w" localSheetId="24">#REF!</definedName>
    <definedName name="w" localSheetId="7">#REF!</definedName>
    <definedName name="w" localSheetId="8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K33" i="30" l="1"/>
  <c r="J33" i="30"/>
  <c r="I33" i="30"/>
  <c r="B17" i="44" l="1"/>
  <c r="C17" i="44"/>
  <c r="B14" i="44"/>
  <c r="C14" i="44"/>
  <c r="E59" i="19"/>
  <c r="D59" i="19"/>
  <c r="R10" i="16"/>
  <c r="O10" i="16"/>
  <c r="L10" i="16"/>
  <c r="I10" i="16"/>
  <c r="F10" i="16" s="1"/>
  <c r="E10" i="16"/>
  <c r="D10" i="16"/>
  <c r="H24" i="7" l="1"/>
  <c r="AF67" i="7"/>
  <c r="V60" i="53"/>
  <c r="F60" i="53"/>
  <c r="H29" i="7" l="1"/>
  <c r="F65" i="53" l="1"/>
  <c r="Z65" i="53"/>
  <c r="H21" i="7"/>
  <c r="R20" i="7"/>
  <c r="R21" i="7"/>
  <c r="R22" i="7"/>
  <c r="R23" i="7"/>
  <c r="J64" i="53"/>
  <c r="F64" i="53"/>
  <c r="AC12" i="7"/>
  <c r="D93" i="19"/>
  <c r="Z76" i="53"/>
  <c r="AA76" i="53"/>
  <c r="AB76" i="53"/>
  <c r="AC76" i="53"/>
  <c r="AD76" i="53"/>
  <c r="AE76" i="53"/>
  <c r="AF76" i="53"/>
  <c r="AG76" i="53"/>
  <c r="AH76" i="53"/>
  <c r="AI76" i="53"/>
  <c r="Y76" i="53"/>
  <c r="E76" i="53"/>
  <c r="F76" i="53"/>
  <c r="G76" i="53"/>
  <c r="H76" i="53"/>
  <c r="I76" i="53"/>
  <c r="J76" i="53"/>
  <c r="K76" i="53"/>
  <c r="L76" i="53"/>
  <c r="M76" i="53"/>
  <c r="N76" i="53"/>
  <c r="O76" i="53"/>
  <c r="P76" i="53"/>
  <c r="Q76" i="53"/>
  <c r="R76" i="53"/>
  <c r="S76" i="53"/>
  <c r="T76" i="53"/>
  <c r="U76" i="53"/>
  <c r="V76" i="53"/>
  <c r="W76" i="53"/>
  <c r="D76" i="53"/>
  <c r="U14" i="55"/>
  <c r="T14" i="55"/>
  <c r="S14" i="55"/>
  <c r="R14" i="55"/>
  <c r="Q14" i="55"/>
  <c r="P14" i="55"/>
  <c r="O14" i="55"/>
  <c r="N14" i="55"/>
  <c r="M14" i="55"/>
  <c r="L14" i="55"/>
  <c r="J14" i="55"/>
  <c r="I14" i="55"/>
  <c r="H14" i="55"/>
  <c r="G14" i="55"/>
  <c r="F14" i="55"/>
  <c r="E14" i="55"/>
  <c r="C14" i="55"/>
  <c r="V13" i="55"/>
  <c r="K13" i="55"/>
  <c r="V12" i="55"/>
  <c r="K12" i="55"/>
  <c r="V11" i="55"/>
  <c r="K11" i="55"/>
  <c r="V10" i="55"/>
  <c r="K10" i="55"/>
  <c r="V9" i="55"/>
  <c r="K9" i="55"/>
  <c r="V8" i="55"/>
  <c r="K8" i="55"/>
  <c r="V7" i="55"/>
  <c r="K7" i="55"/>
  <c r="V6" i="55"/>
  <c r="K6" i="55"/>
  <c r="V5" i="55"/>
  <c r="K5" i="55"/>
  <c r="V4" i="55"/>
  <c r="V14" i="55" s="1"/>
  <c r="K4" i="55"/>
  <c r="K14" i="55" s="1"/>
  <c r="D4" i="55"/>
  <c r="D14" i="55" s="1"/>
  <c r="C4" i="55"/>
  <c r="U14" i="54"/>
  <c r="T14" i="54"/>
  <c r="S14" i="54"/>
  <c r="R14" i="54"/>
  <c r="Q14" i="54"/>
  <c r="P14" i="54"/>
  <c r="O14" i="54"/>
  <c r="N14" i="54"/>
  <c r="L14" i="54"/>
  <c r="J14" i="54"/>
  <c r="I14" i="54"/>
  <c r="H14" i="54"/>
  <c r="G14" i="54"/>
  <c r="F14" i="54"/>
  <c r="E14" i="54"/>
  <c r="C14" i="54"/>
  <c r="V13" i="54"/>
  <c r="K13" i="54"/>
  <c r="V12" i="54"/>
  <c r="K12" i="54"/>
  <c r="V11" i="54"/>
  <c r="K11" i="54"/>
  <c r="V10" i="54"/>
  <c r="K10" i="54"/>
  <c r="V9" i="54"/>
  <c r="K9" i="54"/>
  <c r="V8" i="54"/>
  <c r="K8" i="54"/>
  <c r="V7" i="54"/>
  <c r="K7" i="54"/>
  <c r="V6" i="54"/>
  <c r="K6" i="54"/>
  <c r="V5" i="54"/>
  <c r="K5" i="54"/>
  <c r="M4" i="54"/>
  <c r="M14" i="54" s="1"/>
  <c r="D4" i="54"/>
  <c r="D14" i="54" s="1"/>
  <c r="C4" i="54"/>
  <c r="K4" i="54" s="1"/>
  <c r="K14" i="54" l="1"/>
  <c r="V4" i="54"/>
  <c r="V14" i="54" s="1"/>
  <c r="C12" i="44" l="1"/>
  <c r="D12" i="44" s="1"/>
  <c r="B12" i="44"/>
  <c r="C39" i="43"/>
  <c r="D39" i="43"/>
  <c r="B39" i="43"/>
  <c r="D38" i="43"/>
  <c r="D7" i="9"/>
  <c r="AA53" i="53"/>
  <c r="K80" i="16" l="1"/>
  <c r="K74" i="16"/>
  <c r="K63" i="16"/>
  <c r="K58" i="16"/>
  <c r="K59" i="16" s="1"/>
  <c r="K52" i="16"/>
  <c r="K49" i="16"/>
  <c r="K39" i="16"/>
  <c r="K36" i="16"/>
  <c r="K26" i="16"/>
  <c r="K23" i="16"/>
  <c r="K19" i="16"/>
  <c r="K24" i="16" s="1"/>
  <c r="H80" i="16"/>
  <c r="H74" i="16"/>
  <c r="H63" i="16"/>
  <c r="H52" i="16"/>
  <c r="H39" i="16"/>
  <c r="H36" i="16"/>
  <c r="H27" i="16"/>
  <c r="H26" i="16"/>
  <c r="H23" i="16"/>
  <c r="H5" i="16"/>
  <c r="H19" i="16" s="1"/>
  <c r="H24" i="16" s="1"/>
  <c r="E79" i="14"/>
  <c r="E74" i="14"/>
  <c r="E64" i="14"/>
  <c r="E58" i="14"/>
  <c r="E52" i="14"/>
  <c r="E49" i="14"/>
  <c r="E39" i="14"/>
  <c r="E36" i="14"/>
  <c r="E59" i="14" s="1"/>
  <c r="E27" i="14"/>
  <c r="E26" i="14"/>
  <c r="E23" i="14"/>
  <c r="E17" i="14"/>
  <c r="E16" i="14"/>
  <c r="E8" i="14"/>
  <c r="E5" i="14"/>
  <c r="E19" i="14" s="1"/>
  <c r="K84" i="16" l="1"/>
  <c r="H84" i="16"/>
  <c r="E24" i="14"/>
  <c r="E84" i="14"/>
  <c r="E102" i="19" l="1"/>
  <c r="Q52" i="41"/>
  <c r="Q49" i="41"/>
  <c r="W33" i="41"/>
  <c r="X60" i="53"/>
  <c r="E9" i="1"/>
  <c r="E6" i="1"/>
  <c r="AF70" i="7"/>
  <c r="X54" i="53"/>
  <c r="X55" i="53"/>
  <c r="X56" i="53"/>
  <c r="X57" i="53"/>
  <c r="X58" i="53"/>
  <c r="X59" i="53"/>
  <c r="AF68" i="7"/>
  <c r="Q47" i="41"/>
  <c r="AF63" i="7" l="1"/>
  <c r="AF29" i="7"/>
  <c r="AF24" i="7"/>
  <c r="F49" i="53"/>
  <c r="AJ34" i="53"/>
  <c r="AJ35" i="53"/>
  <c r="AJ36" i="53"/>
  <c r="AJ37" i="53"/>
  <c r="AJ38" i="53"/>
  <c r="AJ39" i="53"/>
  <c r="AJ40" i="53"/>
  <c r="AJ41" i="53"/>
  <c r="AJ42" i="53"/>
  <c r="AJ43" i="53"/>
  <c r="AJ44" i="53"/>
  <c r="AJ45" i="53"/>
  <c r="AJ46" i="53"/>
  <c r="AJ47" i="53"/>
  <c r="AJ48" i="53"/>
  <c r="AJ49" i="53"/>
  <c r="AJ50" i="53"/>
  <c r="AJ51" i="53"/>
  <c r="AJ52" i="53"/>
  <c r="AJ53" i="53"/>
  <c r="F48" i="53"/>
  <c r="P48" i="53"/>
  <c r="E101" i="19" l="1"/>
  <c r="E100" i="19"/>
  <c r="E99" i="19"/>
  <c r="X45" i="53"/>
  <c r="X46" i="53"/>
  <c r="X47" i="53"/>
  <c r="X48" i="53"/>
  <c r="X49" i="53"/>
  <c r="X50" i="53"/>
  <c r="X51" i="53"/>
  <c r="X52" i="53"/>
  <c r="X53" i="53"/>
  <c r="E98" i="19"/>
  <c r="E97" i="19"/>
  <c r="T47" i="41"/>
  <c r="E96" i="19"/>
  <c r="H33" i="7"/>
  <c r="AF69" i="7" l="1"/>
  <c r="H18" i="7"/>
  <c r="X34" i="53"/>
  <c r="X35" i="53"/>
  <c r="X36" i="53"/>
  <c r="X37" i="53"/>
  <c r="X38" i="53"/>
  <c r="X39" i="53"/>
  <c r="X40" i="53"/>
  <c r="X41" i="53"/>
  <c r="X42" i="53"/>
  <c r="X43" i="53"/>
  <c r="X44" i="53"/>
  <c r="AC24" i="7"/>
  <c r="F30" i="53"/>
  <c r="E95" i="19" l="1"/>
  <c r="E94" i="19"/>
  <c r="E93" i="19"/>
  <c r="E64" i="9" l="1"/>
  <c r="D11" i="44"/>
  <c r="E92" i="19"/>
  <c r="E91" i="19"/>
  <c r="E90" i="19"/>
  <c r="E89" i="19"/>
  <c r="E88" i="19" l="1"/>
  <c r="E87" i="19"/>
  <c r="E64" i="19"/>
  <c r="E86" i="19"/>
  <c r="C59" i="19" l="1"/>
  <c r="D64" i="14"/>
  <c r="D26" i="43" l="1"/>
  <c r="D15" i="43"/>
  <c r="C11" i="9"/>
  <c r="D11" i="9"/>
  <c r="U81" i="7" l="1"/>
  <c r="U78" i="7"/>
  <c r="D36" i="43" l="1"/>
  <c r="D37" i="43"/>
  <c r="G30" i="40" l="1"/>
  <c r="L28" i="40"/>
  <c r="H28" i="40"/>
  <c r="N28" i="40" s="1"/>
  <c r="M28" i="40"/>
  <c r="E84" i="19"/>
  <c r="E83" i="19"/>
  <c r="E82" i="19"/>
  <c r="E81" i="19"/>
  <c r="E80" i="19" l="1"/>
  <c r="E10" i="9" l="1"/>
  <c r="E79" i="19"/>
  <c r="E78" i="19"/>
  <c r="AB63" i="5"/>
  <c r="C103" i="19" l="1"/>
  <c r="R80" i="16"/>
  <c r="Q80" i="16"/>
  <c r="P80" i="16"/>
  <c r="O80" i="16"/>
  <c r="N80" i="16"/>
  <c r="M80" i="16"/>
  <c r="L80" i="16"/>
  <c r="J80" i="16"/>
  <c r="I80" i="16"/>
  <c r="G80" i="16"/>
  <c r="F80" i="16"/>
  <c r="E80" i="16"/>
  <c r="D79" i="16"/>
  <c r="D78" i="16"/>
  <c r="D77" i="16"/>
  <c r="D76" i="16"/>
  <c r="D80" i="16" s="1"/>
  <c r="Q74" i="16"/>
  <c r="P74" i="16"/>
  <c r="N74" i="16"/>
  <c r="M74" i="16"/>
  <c r="J74" i="16"/>
  <c r="G74" i="16"/>
  <c r="R73" i="16"/>
  <c r="O73" i="16"/>
  <c r="L73" i="16"/>
  <c r="I73" i="16"/>
  <c r="E73" i="16"/>
  <c r="D73" i="16"/>
  <c r="R72" i="16"/>
  <c r="O72" i="16"/>
  <c r="L72" i="16"/>
  <c r="I72" i="16"/>
  <c r="F72" i="16" s="1"/>
  <c r="E72" i="16"/>
  <c r="D72" i="16"/>
  <c r="R71" i="16"/>
  <c r="O71" i="16"/>
  <c r="L71" i="16"/>
  <c r="I71" i="16"/>
  <c r="E71" i="16"/>
  <c r="D71" i="16"/>
  <c r="R70" i="16"/>
  <c r="O70" i="16"/>
  <c r="L70" i="16"/>
  <c r="I70" i="16"/>
  <c r="E70" i="16"/>
  <c r="D70" i="16"/>
  <c r="R69" i="16"/>
  <c r="O69" i="16"/>
  <c r="L69" i="16"/>
  <c r="F69" i="16" s="1"/>
  <c r="I69" i="16"/>
  <c r="E69" i="16"/>
  <c r="D69" i="16"/>
  <c r="R68" i="16"/>
  <c r="O68" i="16"/>
  <c r="L68" i="16"/>
  <c r="I68" i="16"/>
  <c r="F68" i="16" s="1"/>
  <c r="E68" i="16"/>
  <c r="D68" i="16"/>
  <c r="R67" i="16"/>
  <c r="O67" i="16"/>
  <c r="L67" i="16"/>
  <c r="F67" i="16" s="1"/>
  <c r="I67" i="16"/>
  <c r="E67" i="16"/>
  <c r="D67" i="16"/>
  <c r="R66" i="16"/>
  <c r="O66" i="16"/>
  <c r="L66" i="16"/>
  <c r="I66" i="16"/>
  <c r="E66" i="16"/>
  <c r="D66" i="16"/>
  <c r="Q63" i="16"/>
  <c r="N63" i="16"/>
  <c r="M63" i="16"/>
  <c r="J63" i="16"/>
  <c r="G63" i="16"/>
  <c r="R62" i="16"/>
  <c r="O62" i="16"/>
  <c r="L62" i="16"/>
  <c r="I62" i="16"/>
  <c r="E62" i="16"/>
  <c r="K66" i="58" s="1"/>
  <c r="D62" i="16"/>
  <c r="R61" i="16"/>
  <c r="R63" i="16" s="1"/>
  <c r="O61" i="16"/>
  <c r="L61" i="16"/>
  <c r="L63" i="16" s="1"/>
  <c r="I61" i="16"/>
  <c r="I63" i="16" s="1"/>
  <c r="E61" i="16"/>
  <c r="E63" i="16" s="1"/>
  <c r="D61" i="16"/>
  <c r="D63" i="16" s="1"/>
  <c r="I60" i="16"/>
  <c r="Q59" i="16"/>
  <c r="Q58" i="16"/>
  <c r="P58" i="16"/>
  <c r="N58" i="16"/>
  <c r="M58" i="16"/>
  <c r="J58" i="16"/>
  <c r="G58" i="16"/>
  <c r="G59" i="16" s="1"/>
  <c r="R57" i="16"/>
  <c r="O57" i="16"/>
  <c r="L57" i="16"/>
  <c r="I57" i="16"/>
  <c r="E57" i="16"/>
  <c r="D57" i="16"/>
  <c r="R56" i="16"/>
  <c r="O56" i="16"/>
  <c r="L56" i="16"/>
  <c r="I56" i="16"/>
  <c r="E56" i="16"/>
  <c r="D56" i="16"/>
  <c r="R55" i="16"/>
  <c r="O55" i="16"/>
  <c r="L55" i="16"/>
  <c r="I55" i="16"/>
  <c r="F55" i="16" s="1"/>
  <c r="E55" i="16"/>
  <c r="D55" i="16"/>
  <c r="R54" i="16"/>
  <c r="O54" i="16"/>
  <c r="L54" i="16"/>
  <c r="F54" i="16" s="1"/>
  <c r="I54" i="16"/>
  <c r="E54" i="16"/>
  <c r="D54" i="16"/>
  <c r="R53" i="16"/>
  <c r="O53" i="16"/>
  <c r="L53" i="16"/>
  <c r="I53" i="16"/>
  <c r="E53" i="16"/>
  <c r="D53" i="16"/>
  <c r="Q52" i="16"/>
  <c r="P52" i="16"/>
  <c r="N52" i="16"/>
  <c r="M52" i="16"/>
  <c r="L52" i="16"/>
  <c r="J52" i="16"/>
  <c r="G52" i="16"/>
  <c r="R51" i="16"/>
  <c r="R52" i="16" s="1"/>
  <c r="O51" i="16"/>
  <c r="L51" i="16"/>
  <c r="I51" i="16"/>
  <c r="E51" i="16"/>
  <c r="R50" i="16"/>
  <c r="O50" i="16"/>
  <c r="I50" i="16"/>
  <c r="E50" i="16"/>
  <c r="E52" i="16" s="1"/>
  <c r="K61" i="58" s="1"/>
  <c r="D50" i="16"/>
  <c r="D52" i="16" s="1"/>
  <c r="J61" i="58" s="1"/>
  <c r="Q49" i="16"/>
  <c r="P49" i="16"/>
  <c r="N49" i="16"/>
  <c r="M49" i="16"/>
  <c r="J49" i="16"/>
  <c r="G49" i="16"/>
  <c r="R48" i="16"/>
  <c r="O48" i="16"/>
  <c r="L48" i="16"/>
  <c r="I48" i="16"/>
  <c r="E48" i="16"/>
  <c r="R47" i="16"/>
  <c r="O47" i="16"/>
  <c r="F47" i="16" s="1"/>
  <c r="I47" i="16"/>
  <c r="E47" i="16"/>
  <c r="D47" i="16"/>
  <c r="R46" i="16"/>
  <c r="O46" i="16"/>
  <c r="L46" i="16"/>
  <c r="I46" i="16"/>
  <c r="R45" i="16"/>
  <c r="O45" i="16"/>
  <c r="L45" i="16"/>
  <c r="I45" i="16"/>
  <c r="R44" i="16"/>
  <c r="O44" i="16"/>
  <c r="L44" i="16"/>
  <c r="I44" i="16"/>
  <c r="E44" i="16"/>
  <c r="D44" i="16"/>
  <c r="R43" i="16"/>
  <c r="O43" i="16"/>
  <c r="L43" i="16"/>
  <c r="F43" i="16" s="1"/>
  <c r="I43" i="16"/>
  <c r="E43" i="16"/>
  <c r="D43" i="16"/>
  <c r="R42" i="16"/>
  <c r="O42" i="16"/>
  <c r="L42" i="16"/>
  <c r="I42" i="16"/>
  <c r="F42" i="16" s="1"/>
  <c r="E42" i="16"/>
  <c r="D42" i="16"/>
  <c r="R41" i="16"/>
  <c r="O41" i="16"/>
  <c r="L41" i="16"/>
  <c r="I41" i="16"/>
  <c r="E41" i="16"/>
  <c r="D41" i="16"/>
  <c r="R40" i="16"/>
  <c r="O40" i="16"/>
  <c r="L40" i="16"/>
  <c r="I40" i="16"/>
  <c r="I49" i="16" s="1"/>
  <c r="E40" i="16"/>
  <c r="D40" i="16"/>
  <c r="Q39" i="16"/>
  <c r="P39" i="16"/>
  <c r="N39" i="16"/>
  <c r="M39" i="16"/>
  <c r="J39" i="16"/>
  <c r="G39" i="16"/>
  <c r="D39" i="16"/>
  <c r="R38" i="16"/>
  <c r="O38" i="16"/>
  <c r="O39" i="16" s="1"/>
  <c r="L38" i="16"/>
  <c r="L39" i="16" s="1"/>
  <c r="I38" i="16"/>
  <c r="E38" i="16"/>
  <c r="D38" i="16"/>
  <c r="R37" i="16"/>
  <c r="O37" i="16"/>
  <c r="L37" i="16"/>
  <c r="I37" i="16"/>
  <c r="E37" i="16"/>
  <c r="E39" i="16" s="1"/>
  <c r="K59" i="58" s="1"/>
  <c r="D37" i="16"/>
  <c r="Q36" i="16"/>
  <c r="P36" i="16"/>
  <c r="N36" i="16"/>
  <c r="N59" i="16" s="1"/>
  <c r="M36" i="16"/>
  <c r="M59" i="16" s="1"/>
  <c r="J36" i="16"/>
  <c r="J59" i="16" s="1"/>
  <c r="G36" i="16"/>
  <c r="R35" i="16"/>
  <c r="O35" i="16"/>
  <c r="L35" i="16"/>
  <c r="I35" i="16"/>
  <c r="E35" i="16"/>
  <c r="D35" i="16"/>
  <c r="R34" i="16"/>
  <c r="O34" i="16"/>
  <c r="L34" i="16"/>
  <c r="I34" i="16"/>
  <c r="E34" i="16"/>
  <c r="D34" i="16"/>
  <c r="R33" i="16"/>
  <c r="R36" i="16" s="1"/>
  <c r="O33" i="16"/>
  <c r="O36" i="16" s="1"/>
  <c r="L33" i="16"/>
  <c r="I33" i="16"/>
  <c r="F33" i="16"/>
  <c r="E33" i="16"/>
  <c r="D33" i="16"/>
  <c r="R31" i="16"/>
  <c r="O31" i="16"/>
  <c r="F31" i="16" s="1"/>
  <c r="L31" i="16"/>
  <c r="I31" i="16"/>
  <c r="E31" i="16"/>
  <c r="D31" i="16"/>
  <c r="R30" i="16"/>
  <c r="O30" i="16"/>
  <c r="L30" i="16"/>
  <c r="I30" i="16"/>
  <c r="E30" i="16"/>
  <c r="D30" i="16"/>
  <c r="R29" i="16"/>
  <c r="O29" i="16"/>
  <c r="L29" i="16"/>
  <c r="I29" i="16"/>
  <c r="E29" i="16"/>
  <c r="D29" i="16"/>
  <c r="R28" i="16"/>
  <c r="O28" i="16"/>
  <c r="L28" i="16"/>
  <c r="I28" i="16"/>
  <c r="E28" i="16"/>
  <c r="D28" i="16"/>
  <c r="R27" i="16"/>
  <c r="O27" i="16"/>
  <c r="L27" i="16"/>
  <c r="I27" i="16"/>
  <c r="E27" i="16"/>
  <c r="D27" i="16"/>
  <c r="Q26" i="16"/>
  <c r="P26" i="16"/>
  <c r="N26" i="16"/>
  <c r="M26" i="16"/>
  <c r="J26" i="16"/>
  <c r="E26" i="16"/>
  <c r="K56" i="58" s="1"/>
  <c r="G26" i="16"/>
  <c r="D26" i="16"/>
  <c r="J56" i="58" s="1"/>
  <c r="R23" i="16"/>
  <c r="Q23" i="16"/>
  <c r="P23" i="16"/>
  <c r="N23" i="16"/>
  <c r="M23" i="16"/>
  <c r="J23" i="16"/>
  <c r="G23" i="16"/>
  <c r="R22" i="16"/>
  <c r="O22" i="16"/>
  <c r="L22" i="16"/>
  <c r="I22" i="16"/>
  <c r="D22" i="16"/>
  <c r="F22" i="16" s="1"/>
  <c r="R21" i="16"/>
  <c r="O21" i="16"/>
  <c r="O23" i="16" s="1"/>
  <c r="L21" i="16"/>
  <c r="I21" i="16"/>
  <c r="E21" i="16"/>
  <c r="D21" i="16"/>
  <c r="L20" i="16"/>
  <c r="I20" i="16"/>
  <c r="E20" i="16"/>
  <c r="D20" i="16"/>
  <c r="Q19" i="16"/>
  <c r="P19" i="16"/>
  <c r="P24" i="16" s="1"/>
  <c r="N19" i="16"/>
  <c r="M19" i="16"/>
  <c r="J19" i="16"/>
  <c r="G19" i="16"/>
  <c r="R18" i="16"/>
  <c r="O18" i="16"/>
  <c r="L18" i="16"/>
  <c r="I18" i="16"/>
  <c r="E18" i="16"/>
  <c r="D18" i="16"/>
  <c r="R17" i="16"/>
  <c r="O17" i="16"/>
  <c r="L17" i="16"/>
  <c r="I17" i="16"/>
  <c r="E17" i="16"/>
  <c r="D17" i="16"/>
  <c r="R16" i="16"/>
  <c r="O16" i="16"/>
  <c r="L16" i="16"/>
  <c r="I16" i="16"/>
  <c r="E16" i="16"/>
  <c r="D16" i="16"/>
  <c r="R15" i="16"/>
  <c r="O15" i="16"/>
  <c r="L15" i="16"/>
  <c r="I15" i="16"/>
  <c r="E15" i="16"/>
  <c r="D15" i="16"/>
  <c r="R14" i="16"/>
  <c r="O14" i="16"/>
  <c r="L14" i="16"/>
  <c r="I14" i="16"/>
  <c r="E14" i="16"/>
  <c r="D14" i="16"/>
  <c r="R13" i="16"/>
  <c r="O13" i="16"/>
  <c r="L13" i="16"/>
  <c r="I13" i="16"/>
  <c r="E13" i="16"/>
  <c r="D13" i="16"/>
  <c r="R12" i="16"/>
  <c r="O12" i="16"/>
  <c r="L12" i="16"/>
  <c r="I12" i="16"/>
  <c r="E12" i="16"/>
  <c r="D12" i="16"/>
  <c r="R11" i="16"/>
  <c r="O11" i="16"/>
  <c r="L11" i="16"/>
  <c r="I11" i="16"/>
  <c r="E11" i="16"/>
  <c r="D11" i="16"/>
  <c r="R9" i="16"/>
  <c r="O9" i="16"/>
  <c r="L9" i="16"/>
  <c r="I9" i="16"/>
  <c r="E9" i="16"/>
  <c r="R8" i="16"/>
  <c r="O8" i="16"/>
  <c r="L8" i="16"/>
  <c r="I8" i="16"/>
  <c r="E8" i="16"/>
  <c r="D8" i="16"/>
  <c r="R7" i="16"/>
  <c r="O7" i="16"/>
  <c r="L7" i="16"/>
  <c r="I7" i="16"/>
  <c r="E7" i="16"/>
  <c r="D7" i="16"/>
  <c r="R6" i="16"/>
  <c r="O6" i="16"/>
  <c r="F6" i="16" s="1"/>
  <c r="L6" i="16"/>
  <c r="I6" i="16"/>
  <c r="E6" i="16"/>
  <c r="D6" i="16"/>
  <c r="R5" i="16"/>
  <c r="O5" i="16"/>
  <c r="L5" i="16"/>
  <c r="E5" i="16"/>
  <c r="D5" i="16"/>
  <c r="F79" i="14"/>
  <c r="D79" i="14"/>
  <c r="D74" i="14"/>
  <c r="F73" i="14"/>
  <c r="F72" i="14"/>
  <c r="F71" i="14"/>
  <c r="F70" i="14"/>
  <c r="F69" i="14"/>
  <c r="F68" i="14"/>
  <c r="F66" i="14"/>
  <c r="F65" i="14"/>
  <c r="F63" i="14"/>
  <c r="F64" i="14" s="1"/>
  <c r="F62" i="14"/>
  <c r="D58" i="14"/>
  <c r="G62" i="58" s="1"/>
  <c r="F57" i="14"/>
  <c r="F56" i="14"/>
  <c r="F55" i="14"/>
  <c r="F54" i="14"/>
  <c r="F53" i="14"/>
  <c r="D52" i="14"/>
  <c r="G61" i="58" s="1"/>
  <c r="F51" i="14"/>
  <c r="F50" i="14"/>
  <c r="F52" i="14" s="1"/>
  <c r="I61" i="58" s="1"/>
  <c r="H60" i="58"/>
  <c r="D49" i="14"/>
  <c r="G60" i="58" s="1"/>
  <c r="F48" i="14"/>
  <c r="F47" i="14"/>
  <c r="F44" i="14"/>
  <c r="F43" i="14"/>
  <c r="F42" i="14"/>
  <c r="F41" i="14"/>
  <c r="F40" i="14"/>
  <c r="D39" i="14"/>
  <c r="F38" i="14"/>
  <c r="F37" i="14"/>
  <c r="F39" i="14" s="1"/>
  <c r="I59" i="58" s="1"/>
  <c r="H58" i="58"/>
  <c r="D36" i="14"/>
  <c r="F35" i="14"/>
  <c r="F34" i="14"/>
  <c r="F33" i="14"/>
  <c r="F31" i="14"/>
  <c r="F30" i="14"/>
  <c r="F29" i="14"/>
  <c r="F28" i="14"/>
  <c r="F27" i="14"/>
  <c r="F26" i="14" s="1"/>
  <c r="I56" i="58" s="1"/>
  <c r="H56" i="58"/>
  <c r="D26" i="14"/>
  <c r="D23" i="14"/>
  <c r="F22" i="14"/>
  <c r="F21" i="14"/>
  <c r="F20" i="14"/>
  <c r="D19" i="14"/>
  <c r="G53" i="58" s="1"/>
  <c r="F18" i="14"/>
  <c r="H53" i="58"/>
  <c r="F16" i="14"/>
  <c r="F15" i="14"/>
  <c r="F14" i="14"/>
  <c r="F13" i="14"/>
  <c r="F12" i="14"/>
  <c r="F11" i="14"/>
  <c r="F10" i="14"/>
  <c r="F9" i="14"/>
  <c r="F8" i="14"/>
  <c r="F7" i="14"/>
  <c r="F6" i="14"/>
  <c r="F5" i="14"/>
  <c r="E4" i="58"/>
  <c r="I4" i="58"/>
  <c r="J4" i="58"/>
  <c r="D4" i="58" s="1"/>
  <c r="M4" i="58"/>
  <c r="O4" i="58"/>
  <c r="D5" i="58"/>
  <c r="E5" i="58"/>
  <c r="L5" i="58"/>
  <c r="F5" i="58" s="1"/>
  <c r="O5" i="58"/>
  <c r="D6" i="58"/>
  <c r="E6" i="58"/>
  <c r="F6" i="58"/>
  <c r="L6" i="58"/>
  <c r="O6" i="58"/>
  <c r="D7" i="58"/>
  <c r="E7" i="58"/>
  <c r="L7" i="58"/>
  <c r="O7" i="58"/>
  <c r="F7" i="58" s="1"/>
  <c r="D8" i="58"/>
  <c r="E8" i="58"/>
  <c r="L8" i="58"/>
  <c r="F8" i="58" s="1"/>
  <c r="O8" i="58"/>
  <c r="D9" i="58"/>
  <c r="E9" i="58"/>
  <c r="L9" i="58"/>
  <c r="F9" i="58" s="1"/>
  <c r="O9" i="58"/>
  <c r="D10" i="58"/>
  <c r="E10" i="58"/>
  <c r="F10" i="58"/>
  <c r="L10" i="58"/>
  <c r="O10" i="58"/>
  <c r="D11" i="58"/>
  <c r="E11" i="58"/>
  <c r="L11" i="58"/>
  <c r="F11" i="58" s="1"/>
  <c r="O11" i="58"/>
  <c r="D12" i="58"/>
  <c r="E12" i="58"/>
  <c r="L12" i="58"/>
  <c r="F12" i="58" s="1"/>
  <c r="O12" i="58"/>
  <c r="D13" i="58"/>
  <c r="E13" i="58"/>
  <c r="L13" i="58"/>
  <c r="F13" i="58" s="1"/>
  <c r="O13" i="58"/>
  <c r="D14" i="58"/>
  <c r="E14" i="58"/>
  <c r="F14" i="58"/>
  <c r="L14" i="58"/>
  <c r="O14" i="58"/>
  <c r="E15" i="58"/>
  <c r="G15" i="58"/>
  <c r="H15" i="58"/>
  <c r="I15" i="58"/>
  <c r="F15" i="58" s="1"/>
  <c r="J15" i="58"/>
  <c r="L15" i="58" s="1"/>
  <c r="M15" i="58"/>
  <c r="D15" i="58" s="1"/>
  <c r="O15" i="58"/>
  <c r="E16" i="58"/>
  <c r="I16" i="58"/>
  <c r="J16" i="58"/>
  <c r="D16" i="58" s="1"/>
  <c r="M16" i="58"/>
  <c r="O16" i="58"/>
  <c r="D17" i="58"/>
  <c r="E17" i="58"/>
  <c r="I17" i="58"/>
  <c r="F17" i="58" s="1"/>
  <c r="L17" i="58"/>
  <c r="O17" i="58"/>
  <c r="D18" i="58"/>
  <c r="E18" i="58"/>
  <c r="I18" i="58"/>
  <c r="F18" i="58" s="1"/>
  <c r="L18" i="58"/>
  <c r="O18" i="58"/>
  <c r="D19" i="58"/>
  <c r="E19" i="58"/>
  <c r="I19" i="58"/>
  <c r="F19" i="58" s="1"/>
  <c r="L19" i="58"/>
  <c r="O19" i="58"/>
  <c r="D20" i="58"/>
  <c r="E20" i="58"/>
  <c r="I20" i="58"/>
  <c r="F20" i="58" s="1"/>
  <c r="L20" i="58"/>
  <c r="O20" i="58"/>
  <c r="D21" i="58"/>
  <c r="E21" i="58"/>
  <c r="I21" i="58"/>
  <c r="F21" i="58" s="1"/>
  <c r="L21" i="58"/>
  <c r="O21" i="58"/>
  <c r="D22" i="58"/>
  <c r="E22" i="58"/>
  <c r="I22" i="58"/>
  <c r="F22" i="58" s="1"/>
  <c r="L22" i="58"/>
  <c r="O22" i="58"/>
  <c r="D23" i="58"/>
  <c r="E23" i="58"/>
  <c r="I23" i="58"/>
  <c r="F23" i="58" s="1"/>
  <c r="L23" i="58"/>
  <c r="O23" i="58"/>
  <c r="D24" i="58"/>
  <c r="E24" i="58"/>
  <c r="I24" i="58"/>
  <c r="F24" i="58" s="1"/>
  <c r="L24" i="58"/>
  <c r="O24" i="58"/>
  <c r="D25" i="58"/>
  <c r="E25" i="58"/>
  <c r="I25" i="58"/>
  <c r="F25" i="58" s="1"/>
  <c r="L25" i="58"/>
  <c r="O25" i="58"/>
  <c r="D26" i="58"/>
  <c r="E26" i="58"/>
  <c r="I26" i="58"/>
  <c r="F26" i="58" s="1"/>
  <c r="L26" i="58"/>
  <c r="O26" i="58"/>
  <c r="E27" i="58"/>
  <c r="I27" i="58"/>
  <c r="F27" i="58" s="1"/>
  <c r="J27" i="58"/>
  <c r="D27" i="58" s="1"/>
  <c r="L27" i="58"/>
  <c r="M27" i="58"/>
  <c r="O27" i="58"/>
  <c r="D28" i="58"/>
  <c r="E28" i="58"/>
  <c r="I28" i="58"/>
  <c r="F28" i="58" s="1"/>
  <c r="L28" i="58"/>
  <c r="O28" i="58"/>
  <c r="D29" i="58"/>
  <c r="E29" i="58"/>
  <c r="I29" i="58"/>
  <c r="F29" i="58" s="1"/>
  <c r="L29" i="58"/>
  <c r="O29" i="58"/>
  <c r="D30" i="58"/>
  <c r="E30" i="58"/>
  <c r="I30" i="58"/>
  <c r="L30" i="58"/>
  <c r="O30" i="58"/>
  <c r="D31" i="58"/>
  <c r="E31" i="58"/>
  <c r="I31" i="58"/>
  <c r="F31" i="58" s="1"/>
  <c r="L31" i="58"/>
  <c r="O31" i="58"/>
  <c r="D32" i="58"/>
  <c r="E32" i="58"/>
  <c r="I32" i="58"/>
  <c r="F32" i="58" s="1"/>
  <c r="L32" i="58"/>
  <c r="O32" i="58"/>
  <c r="D33" i="58"/>
  <c r="E33" i="58"/>
  <c r="I33" i="58"/>
  <c r="F33" i="58" s="1"/>
  <c r="L33" i="58"/>
  <c r="O33" i="58"/>
  <c r="D34" i="58"/>
  <c r="E34" i="58"/>
  <c r="I34" i="58"/>
  <c r="F34" i="58" s="1"/>
  <c r="L34" i="58"/>
  <c r="O34" i="58"/>
  <c r="D35" i="58"/>
  <c r="E35" i="58"/>
  <c r="I35" i="58"/>
  <c r="L35" i="58"/>
  <c r="O35" i="58"/>
  <c r="G36" i="58"/>
  <c r="D36" i="58" s="1"/>
  <c r="H36" i="58"/>
  <c r="J36" i="58"/>
  <c r="J42" i="58" s="1"/>
  <c r="K36" i="58"/>
  <c r="K42" i="58" s="1"/>
  <c r="M36" i="58"/>
  <c r="N36" i="58"/>
  <c r="O36" i="58"/>
  <c r="D37" i="58"/>
  <c r="E37" i="58"/>
  <c r="I37" i="58"/>
  <c r="F37" i="58" s="1"/>
  <c r="L37" i="58"/>
  <c r="D38" i="58"/>
  <c r="E38" i="58"/>
  <c r="F38" i="58"/>
  <c r="I38" i="58"/>
  <c r="L38" i="58"/>
  <c r="O38" i="58"/>
  <c r="C39" i="58"/>
  <c r="E39" i="58"/>
  <c r="G39" i="58"/>
  <c r="D39" i="58" s="1"/>
  <c r="J39" i="58"/>
  <c r="L39" i="58"/>
  <c r="M39" i="58"/>
  <c r="O39" i="58" s="1"/>
  <c r="O42" i="58" s="1"/>
  <c r="D40" i="58"/>
  <c r="E40" i="58"/>
  <c r="F40" i="58"/>
  <c r="I40" i="58"/>
  <c r="L40" i="58"/>
  <c r="O40" i="58"/>
  <c r="D41" i="58"/>
  <c r="E41" i="58"/>
  <c r="G41" i="58"/>
  <c r="I41" i="58"/>
  <c r="F41" i="58" s="1"/>
  <c r="J41" i="58"/>
  <c r="L41" i="58" s="1"/>
  <c r="M41" i="58"/>
  <c r="M42" i="58" s="1"/>
  <c r="O41" i="58"/>
  <c r="G42" i="58"/>
  <c r="N42" i="58"/>
  <c r="E43" i="58"/>
  <c r="I43" i="58"/>
  <c r="I46" i="58" s="1"/>
  <c r="D43" i="58"/>
  <c r="O43" i="58"/>
  <c r="O46" i="58" s="1"/>
  <c r="O48" i="58" s="1"/>
  <c r="O49" i="58" s="1"/>
  <c r="D44" i="58"/>
  <c r="E44" i="58"/>
  <c r="I44" i="58"/>
  <c r="F44" i="58" s="1"/>
  <c r="L44" i="58"/>
  <c r="D45" i="58"/>
  <c r="E45" i="58"/>
  <c r="I45" i="58"/>
  <c r="F45" i="58" s="1"/>
  <c r="L45" i="58"/>
  <c r="G46" i="58"/>
  <c r="D46" i="58" s="1"/>
  <c r="H46" i="58"/>
  <c r="J46" i="58"/>
  <c r="J48" i="58" s="1"/>
  <c r="K46" i="58"/>
  <c r="K48" i="58" s="1"/>
  <c r="M46" i="58"/>
  <c r="M48" i="58" s="1"/>
  <c r="N46" i="58"/>
  <c r="N48" i="58" s="1"/>
  <c r="N49" i="58" s="1"/>
  <c r="D47" i="58"/>
  <c r="E47" i="58"/>
  <c r="I47" i="58"/>
  <c r="L47" i="58"/>
  <c r="O47" i="58"/>
  <c r="G48" i="58"/>
  <c r="H48" i="58"/>
  <c r="G54" i="58"/>
  <c r="H54" i="58"/>
  <c r="M55" i="58"/>
  <c r="N55" i="58"/>
  <c r="O55" i="58"/>
  <c r="G56" i="58"/>
  <c r="G58" i="58"/>
  <c r="G59" i="58"/>
  <c r="H59" i="58"/>
  <c r="J59" i="58"/>
  <c r="H61" i="58"/>
  <c r="E61" i="58" s="1"/>
  <c r="H62" i="58"/>
  <c r="F65" i="58"/>
  <c r="G65" i="58"/>
  <c r="D65" i="58" s="1"/>
  <c r="H65" i="58"/>
  <c r="E65" i="58" s="1"/>
  <c r="I65" i="58"/>
  <c r="G66" i="58"/>
  <c r="H66" i="58"/>
  <c r="H67" i="58" s="1"/>
  <c r="I66" i="58"/>
  <c r="J66" i="58"/>
  <c r="J67" i="58" s="1"/>
  <c r="G69" i="58"/>
  <c r="H69" i="58"/>
  <c r="M69" i="58"/>
  <c r="N69" i="58"/>
  <c r="O69" i="58"/>
  <c r="G71" i="58"/>
  <c r="H71" i="58"/>
  <c r="I71" i="58"/>
  <c r="J71" i="58"/>
  <c r="K71" i="58"/>
  <c r="E71" i="58" s="1"/>
  <c r="L71" i="58"/>
  <c r="M71" i="58"/>
  <c r="N71" i="58"/>
  <c r="O71" i="58"/>
  <c r="G73" i="58"/>
  <c r="H73" i="58"/>
  <c r="I73" i="58"/>
  <c r="F73" i="58" s="1"/>
  <c r="J73" i="58"/>
  <c r="K73" i="58"/>
  <c r="L73" i="58"/>
  <c r="M75" i="58"/>
  <c r="M79" i="58" s="1"/>
  <c r="N75" i="58"/>
  <c r="N79" i="58" s="1"/>
  <c r="D77" i="58"/>
  <c r="E77" i="58"/>
  <c r="F77" i="58"/>
  <c r="N24" i="16" l="1"/>
  <c r="D71" i="58"/>
  <c r="F7" i="16"/>
  <c r="F18" i="16"/>
  <c r="F15" i="16"/>
  <c r="F13" i="16"/>
  <c r="L42" i="58"/>
  <c r="F8" i="16"/>
  <c r="F12" i="16"/>
  <c r="F16" i="16"/>
  <c r="F20" i="16"/>
  <c r="F41" i="16"/>
  <c r="F44" i="16"/>
  <c r="F56" i="16"/>
  <c r="F70" i="16"/>
  <c r="F71" i="16"/>
  <c r="L23" i="16"/>
  <c r="F28" i="16"/>
  <c r="L74" i="16"/>
  <c r="F11" i="16"/>
  <c r="F30" i="16"/>
  <c r="F37" i="16"/>
  <c r="F48" i="16"/>
  <c r="F49" i="16" s="1"/>
  <c r="L60" i="58" s="1"/>
  <c r="F62" i="16"/>
  <c r="L66" i="58" s="1"/>
  <c r="L67" i="58" s="1"/>
  <c r="F14" i="16"/>
  <c r="E36" i="16"/>
  <c r="K58" i="58" s="1"/>
  <c r="E58" i="58" s="1"/>
  <c r="F35" i="16"/>
  <c r="F40" i="16"/>
  <c r="F66" i="16"/>
  <c r="I23" i="16"/>
  <c r="E74" i="16"/>
  <c r="K69" i="58" s="1"/>
  <c r="F36" i="14"/>
  <c r="F58" i="14"/>
  <c r="I62" i="58" s="1"/>
  <c r="F74" i="14"/>
  <c r="F23" i="14"/>
  <c r="I54" i="58" s="1"/>
  <c r="F61" i="16"/>
  <c r="F63" i="16" s="1"/>
  <c r="E66" i="58"/>
  <c r="K67" i="58"/>
  <c r="E67" i="58" s="1"/>
  <c r="D66" i="58"/>
  <c r="F66" i="58"/>
  <c r="L58" i="16"/>
  <c r="F34" i="16"/>
  <c r="L36" i="16"/>
  <c r="F17" i="16"/>
  <c r="L19" i="16"/>
  <c r="J24" i="16"/>
  <c r="E58" i="16"/>
  <c r="K62" i="58" s="1"/>
  <c r="E62" i="58" s="1"/>
  <c r="F57" i="16"/>
  <c r="F53" i="16"/>
  <c r="D36" i="16"/>
  <c r="J58" i="58" s="1"/>
  <c r="D58" i="58" s="1"/>
  <c r="E23" i="16"/>
  <c r="K54" i="58" s="1"/>
  <c r="E54" i="58" s="1"/>
  <c r="G24" i="16"/>
  <c r="G84" i="16" s="1"/>
  <c r="E19" i="16"/>
  <c r="K53" i="58" s="1"/>
  <c r="E53" i="58" s="1"/>
  <c r="D59" i="14"/>
  <c r="D24" i="14"/>
  <c r="F35" i="58"/>
  <c r="E36" i="58"/>
  <c r="L36" i="58"/>
  <c r="L26" i="16"/>
  <c r="O52" i="16"/>
  <c r="D58" i="16"/>
  <c r="D74" i="16"/>
  <c r="J69" i="58" s="1"/>
  <c r="O74" i="16"/>
  <c r="R19" i="16"/>
  <c r="D69" i="58"/>
  <c r="D19" i="16"/>
  <c r="J53" i="58" s="1"/>
  <c r="D53" i="58" s="1"/>
  <c r="F21" i="16"/>
  <c r="Q24" i="16"/>
  <c r="Q84" i="16" s="1"/>
  <c r="O26" i="16"/>
  <c r="F27" i="16"/>
  <c r="R39" i="16"/>
  <c r="D49" i="16"/>
  <c r="J60" i="58" s="1"/>
  <c r="L49" i="16"/>
  <c r="O49" i="16"/>
  <c r="R58" i="16"/>
  <c r="O58" i="16"/>
  <c r="R74" i="16"/>
  <c r="I74" i="16"/>
  <c r="J84" i="16"/>
  <c r="N84" i="16"/>
  <c r="F29" i="16"/>
  <c r="I26" i="16"/>
  <c r="F26" i="16" s="1"/>
  <c r="L56" i="58" s="1"/>
  <c r="F56" i="58" s="1"/>
  <c r="O19" i="16"/>
  <c r="O24" i="16" s="1"/>
  <c r="D23" i="16"/>
  <c r="L24" i="16"/>
  <c r="M24" i="16"/>
  <c r="M84" i="16" s="1"/>
  <c r="R24" i="16"/>
  <c r="R26" i="16"/>
  <c r="F36" i="16"/>
  <c r="L58" i="58" s="1"/>
  <c r="I36" i="16"/>
  <c r="F38" i="16"/>
  <c r="F39" i="16" s="1"/>
  <c r="L59" i="58" s="1"/>
  <c r="F59" i="58" s="1"/>
  <c r="I39" i="16"/>
  <c r="E49" i="16"/>
  <c r="K60" i="58" s="1"/>
  <c r="R49" i="16"/>
  <c r="F50" i="16"/>
  <c r="F51" i="16"/>
  <c r="F52" i="16" s="1"/>
  <c r="L61" i="58" s="1"/>
  <c r="F61" i="58" s="1"/>
  <c r="I52" i="16"/>
  <c r="I58" i="16"/>
  <c r="P59" i="16"/>
  <c r="P84" i="16" s="1"/>
  <c r="O63" i="16"/>
  <c r="F73" i="16"/>
  <c r="F74" i="16" s="1"/>
  <c r="E59" i="58"/>
  <c r="D59" i="58"/>
  <c r="D56" i="58"/>
  <c r="E56" i="58"/>
  <c r="D60" i="58"/>
  <c r="D61" i="58"/>
  <c r="I5" i="16"/>
  <c r="I58" i="58"/>
  <c r="I63" i="58" s="1"/>
  <c r="H63" i="58"/>
  <c r="I69" i="58"/>
  <c r="F49" i="14"/>
  <c r="I60" i="58" s="1"/>
  <c r="D84" i="14"/>
  <c r="F17" i="14"/>
  <c r="F19" i="14" s="1"/>
  <c r="G55" i="58"/>
  <c r="F47" i="58"/>
  <c r="E48" i="58"/>
  <c r="L46" i="58"/>
  <c r="H42" i="58"/>
  <c r="E42" i="58" s="1"/>
  <c r="I36" i="58"/>
  <c r="F36" i="58" s="1"/>
  <c r="O75" i="58"/>
  <c r="O79" i="58" s="1"/>
  <c r="F71" i="58"/>
  <c r="E69" i="58"/>
  <c r="D48" i="58"/>
  <c r="L48" i="58"/>
  <c r="J49" i="58"/>
  <c r="E73" i="58"/>
  <c r="D73" i="58"/>
  <c r="I48" i="58"/>
  <c r="F46" i="58"/>
  <c r="F4" i="58"/>
  <c r="M49" i="58"/>
  <c r="D42" i="58"/>
  <c r="K49" i="58"/>
  <c r="E46" i="58"/>
  <c r="F30" i="58"/>
  <c r="H55" i="58"/>
  <c r="L43" i="58"/>
  <c r="F43" i="58" s="1"/>
  <c r="L16" i="58"/>
  <c r="F16" i="58" s="1"/>
  <c r="L4" i="58"/>
  <c r="G67" i="58"/>
  <c r="D67" i="58" s="1"/>
  <c r="G63" i="58"/>
  <c r="G49" i="58"/>
  <c r="I67" i="58"/>
  <c r="I39" i="58"/>
  <c r="F39" i="58" s="1"/>
  <c r="L49" i="58" l="1"/>
  <c r="D49" i="58"/>
  <c r="F23" i="16"/>
  <c r="F60" i="58"/>
  <c r="I59" i="16"/>
  <c r="O59" i="16"/>
  <c r="L59" i="16"/>
  <c r="L84" i="16" s="1"/>
  <c r="F58" i="16"/>
  <c r="L62" i="58" s="1"/>
  <c r="F62" i="58" s="1"/>
  <c r="F58" i="58"/>
  <c r="K55" i="58"/>
  <c r="E55" i="58" s="1"/>
  <c r="E24" i="16"/>
  <c r="H75" i="58"/>
  <c r="H49" i="58"/>
  <c r="E49" i="58" s="1"/>
  <c r="L54" i="58"/>
  <c r="F54" i="58" s="1"/>
  <c r="L69" i="58"/>
  <c r="O84" i="16"/>
  <c r="K63" i="58"/>
  <c r="J62" i="58"/>
  <c r="D62" i="58" s="1"/>
  <c r="D59" i="16"/>
  <c r="D24" i="16"/>
  <c r="J54" i="58"/>
  <c r="R59" i="16"/>
  <c r="R84" i="16" s="1"/>
  <c r="F5" i="16"/>
  <c r="F19" i="16" s="1"/>
  <c r="L53" i="58" s="1"/>
  <c r="I19" i="16"/>
  <c r="I24" i="16" s="1"/>
  <c r="I84" i="16" s="1"/>
  <c r="E59" i="16"/>
  <c r="E60" i="58"/>
  <c r="I53" i="58"/>
  <c r="F24" i="14"/>
  <c r="G75" i="58"/>
  <c r="G79" i="58" s="1"/>
  <c r="F59" i="14"/>
  <c r="H79" i="58"/>
  <c r="I42" i="58"/>
  <c r="F42" i="58" s="1"/>
  <c r="F67" i="58"/>
  <c r="F48" i="58"/>
  <c r="D84" i="16" l="1"/>
  <c r="F59" i="16"/>
  <c r="L63" i="58"/>
  <c r="F63" i="58" s="1"/>
  <c r="J63" i="58"/>
  <c r="D63" i="58" s="1"/>
  <c r="L55" i="58"/>
  <c r="E84" i="16"/>
  <c r="F84" i="14"/>
  <c r="E63" i="58"/>
  <c r="K75" i="58"/>
  <c r="F69" i="58"/>
  <c r="J55" i="58"/>
  <c r="D55" i="58" s="1"/>
  <c r="D54" i="58"/>
  <c r="F24" i="16"/>
  <c r="F53" i="58"/>
  <c r="I55" i="58"/>
  <c r="I49" i="58"/>
  <c r="F49" i="58" s="1"/>
  <c r="F84" i="16" l="1"/>
  <c r="L75" i="58"/>
  <c r="L79" i="58" s="1"/>
  <c r="J75" i="58"/>
  <c r="J79" i="58" s="1"/>
  <c r="D79" i="58" s="1"/>
  <c r="K79" i="58"/>
  <c r="E79" i="58" s="1"/>
  <c r="E75" i="58"/>
  <c r="F55" i="58"/>
  <c r="I75" i="58"/>
  <c r="D75" i="58" l="1"/>
  <c r="I79" i="58"/>
  <c r="F79" i="58" s="1"/>
  <c r="F75" i="58"/>
  <c r="AB59" i="41" l="1"/>
  <c r="F33" i="30" l="1"/>
  <c r="D8" i="44" l="1"/>
  <c r="L33" i="30" l="1"/>
  <c r="M33" i="30"/>
  <c r="N33" i="30"/>
  <c r="H33" i="30"/>
  <c r="G33" i="30"/>
  <c r="E33" i="30"/>
  <c r="D33" i="30"/>
  <c r="C33" i="30"/>
  <c r="B29" i="30"/>
  <c r="R24" i="7" l="1"/>
  <c r="G24" i="40" l="1"/>
  <c r="G53" i="40" s="1"/>
  <c r="E77" i="19" l="1"/>
  <c r="E76" i="19"/>
  <c r="M9" i="40"/>
  <c r="L9" i="40"/>
  <c r="K9" i="40"/>
  <c r="H9" i="40"/>
  <c r="N9" i="40" l="1"/>
  <c r="S5" i="57"/>
  <c r="S12" i="57" s="1"/>
  <c r="X33" i="53"/>
  <c r="E75" i="19" l="1"/>
  <c r="H10" i="40"/>
  <c r="M10" i="40"/>
  <c r="L10" i="40"/>
  <c r="K10" i="40"/>
  <c r="E74" i="19"/>
  <c r="E73" i="19"/>
  <c r="N10" i="40" l="1"/>
  <c r="O44" i="6" l="1"/>
  <c r="O41" i="6"/>
  <c r="E72" i="19"/>
  <c r="E71" i="19"/>
  <c r="M27" i="40"/>
  <c r="L27" i="40"/>
  <c r="H27" i="40"/>
  <c r="N27" i="40" s="1"/>
  <c r="E70" i="19"/>
  <c r="E69" i="19"/>
  <c r="E68" i="19"/>
  <c r="J53" i="40"/>
  <c r="I53" i="40"/>
  <c r="L11" i="40"/>
  <c r="M11" i="40"/>
  <c r="K11" i="40"/>
  <c r="E67" i="19"/>
  <c r="E66" i="19"/>
  <c r="E65" i="19"/>
  <c r="N11" i="40" l="1"/>
  <c r="O37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O35" i="30"/>
  <c r="O34" i="30"/>
  <c r="O33" i="30"/>
  <c r="L29" i="30"/>
  <c r="H29" i="30"/>
  <c r="D29" i="30"/>
  <c r="K29" i="30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5" i="30"/>
  <c r="O14" i="30"/>
  <c r="O17" i="30" l="1"/>
  <c r="O36" i="30"/>
  <c r="E29" i="30"/>
  <c r="I29" i="30"/>
  <c r="M29" i="30"/>
  <c r="F29" i="30"/>
  <c r="J29" i="30"/>
  <c r="N29" i="30"/>
  <c r="C29" i="30"/>
  <c r="G29" i="30"/>
  <c r="O29" i="30" l="1"/>
  <c r="E14" i="21" l="1"/>
  <c r="D14" i="21"/>
  <c r="C14" i="21"/>
  <c r="U29" i="7" l="1"/>
  <c r="U11" i="7"/>
  <c r="V25" i="8"/>
  <c r="AG66" i="7" l="1"/>
  <c r="F66" i="7" s="1"/>
  <c r="I14" i="18" s="1"/>
  <c r="AD66" i="7"/>
  <c r="AA66" i="7"/>
  <c r="X66" i="7"/>
  <c r="O66" i="7"/>
  <c r="L66" i="7"/>
  <c r="I66" i="7"/>
  <c r="E66" i="7"/>
  <c r="H14" i="18" s="1"/>
  <c r="D66" i="7"/>
  <c r="G14" i="18" s="1"/>
  <c r="AB29" i="7"/>
  <c r="AB34" i="7" s="1"/>
  <c r="AB28" i="7"/>
  <c r="AB24" i="7"/>
  <c r="AB25" i="7" s="1"/>
  <c r="AB17" i="7"/>
  <c r="AB14" i="7"/>
  <c r="AB7" i="7"/>
  <c r="Y34" i="7"/>
  <c r="Y28" i="7"/>
  <c r="Y25" i="7"/>
  <c r="S34" i="7"/>
  <c r="S28" i="7"/>
  <c r="S25" i="7"/>
  <c r="S17" i="7"/>
  <c r="S14" i="7"/>
  <c r="M29" i="7"/>
  <c r="M34" i="7" s="1"/>
  <c r="M28" i="7"/>
  <c r="M19" i="7"/>
  <c r="M25" i="7" s="1"/>
  <c r="M17" i="7"/>
  <c r="M14" i="7"/>
  <c r="M7" i="7"/>
  <c r="J34" i="7"/>
  <c r="J29" i="7"/>
  <c r="J28" i="7"/>
  <c r="J25" i="7"/>
  <c r="J17" i="7"/>
  <c r="J14" i="7"/>
  <c r="J7" i="7"/>
  <c r="G34" i="7"/>
  <c r="G28" i="7"/>
  <c r="G25" i="7"/>
  <c r="G17" i="7"/>
  <c r="K52" i="40"/>
  <c r="K53" i="40" s="1"/>
  <c r="H45" i="40"/>
  <c r="N45" i="40" s="1"/>
  <c r="H46" i="40"/>
  <c r="N46" i="40" s="1"/>
  <c r="H47" i="40"/>
  <c r="N47" i="40" s="1"/>
  <c r="H36" i="40"/>
  <c r="L45" i="40"/>
  <c r="M45" i="40"/>
  <c r="L46" i="40"/>
  <c r="M46" i="40"/>
  <c r="L47" i="40"/>
  <c r="M47" i="40"/>
  <c r="M25" i="40"/>
  <c r="M26" i="40"/>
  <c r="M29" i="40"/>
  <c r="L25" i="40"/>
  <c r="L26" i="40"/>
  <c r="L29" i="40"/>
  <c r="H25" i="40"/>
  <c r="N25" i="40" s="1"/>
  <c r="H26" i="40"/>
  <c r="N26" i="40" s="1"/>
  <c r="H29" i="40"/>
  <c r="N29" i="40" s="1"/>
  <c r="F24" i="40"/>
  <c r="C21" i="40"/>
  <c r="C11" i="37"/>
  <c r="C12" i="37"/>
  <c r="C13" i="37"/>
  <c r="C14" i="37"/>
  <c r="C15" i="37"/>
  <c r="C16" i="37"/>
  <c r="C17" i="37"/>
  <c r="M34" i="6"/>
  <c r="M35" i="6" s="1"/>
  <c r="M28" i="6"/>
  <c r="M25" i="6"/>
  <c r="M24" i="6"/>
  <c r="M17" i="6"/>
  <c r="M14" i="6"/>
  <c r="M7" i="6"/>
  <c r="J34" i="6"/>
  <c r="J35" i="6" s="1"/>
  <c r="J28" i="6"/>
  <c r="J25" i="6"/>
  <c r="J23" i="6"/>
  <c r="J17" i="6"/>
  <c r="J15" i="6"/>
  <c r="J14" i="6"/>
  <c r="J12" i="6"/>
  <c r="J7" i="6"/>
  <c r="G29" i="6"/>
  <c r="G34" i="6" s="1"/>
  <c r="G28" i="6"/>
  <c r="G24" i="6"/>
  <c r="G25" i="6" s="1"/>
  <c r="G17" i="6"/>
  <c r="G14" i="6"/>
  <c r="G12" i="6"/>
  <c r="G11" i="6"/>
  <c r="G7" i="6"/>
  <c r="AH34" i="5"/>
  <c r="AH28" i="5"/>
  <c r="AH25" i="5"/>
  <c r="AH17" i="5"/>
  <c r="AH14" i="5"/>
  <c r="AH7" i="5"/>
  <c r="AE52" i="5"/>
  <c r="AE34" i="5"/>
  <c r="AE35" i="5" s="1"/>
  <c r="AE28" i="5"/>
  <c r="AE25" i="5"/>
  <c r="V52" i="5"/>
  <c r="V34" i="5"/>
  <c r="V28" i="5"/>
  <c r="S52" i="5"/>
  <c r="S34" i="5"/>
  <c r="S35" i="5" s="1"/>
  <c r="M63" i="5"/>
  <c r="M58" i="5"/>
  <c r="M52" i="5"/>
  <c r="M34" i="5"/>
  <c r="M35" i="5" s="1"/>
  <c r="M28" i="5"/>
  <c r="M25" i="5"/>
  <c r="M17" i="5"/>
  <c r="M14" i="5"/>
  <c r="M7" i="5"/>
  <c r="G52" i="5"/>
  <c r="G34" i="5"/>
  <c r="G35" i="5" s="1"/>
  <c r="G28" i="5"/>
  <c r="G25" i="5"/>
  <c r="Y33" i="41"/>
  <c r="Y34" i="41"/>
  <c r="M53" i="41"/>
  <c r="M34" i="41"/>
  <c r="D34" i="1"/>
  <c r="D28" i="1"/>
  <c r="D25" i="1"/>
  <c r="D24" i="1"/>
  <c r="D17" i="1"/>
  <c r="D14" i="1"/>
  <c r="D7" i="1"/>
  <c r="B26" i="52"/>
  <c r="B23" i="52"/>
  <c r="B18" i="52"/>
  <c r="B15" i="52"/>
  <c r="B29" i="52"/>
  <c r="C79" i="9"/>
  <c r="C80" i="9" s="1"/>
  <c r="C72" i="9"/>
  <c r="C70" i="9"/>
  <c r="C66" i="9"/>
  <c r="C53" i="9"/>
  <c r="C47" i="9"/>
  <c r="C52" i="9" s="1"/>
  <c r="C43" i="9"/>
  <c r="C40" i="9"/>
  <c r="C26" i="9"/>
  <c r="C37" i="9" s="1"/>
  <c r="C12" i="9"/>
  <c r="S35" i="7" l="1"/>
  <c r="B30" i="52"/>
  <c r="AH35" i="5"/>
  <c r="D35" i="1"/>
  <c r="C23" i="9"/>
  <c r="AB35" i="7"/>
  <c r="M35" i="7"/>
  <c r="J35" i="7"/>
  <c r="G35" i="6"/>
  <c r="M65" i="5"/>
  <c r="C54" i="9"/>
  <c r="AG69" i="7"/>
  <c r="C73" i="9" l="1"/>
  <c r="H32" i="40"/>
  <c r="N32" i="40" s="1"/>
  <c r="E38" i="20" l="1"/>
  <c r="C38" i="20"/>
  <c r="E37" i="20"/>
  <c r="E36" i="20"/>
  <c r="E35" i="20"/>
  <c r="E33" i="20"/>
  <c r="E32" i="20"/>
  <c r="E31" i="20"/>
  <c r="D30" i="20"/>
  <c r="D34" i="20" s="1"/>
  <c r="C30" i="20"/>
  <c r="C34" i="20" s="1"/>
  <c r="E29" i="20"/>
  <c r="E28" i="20"/>
  <c r="E27" i="20"/>
  <c r="D26" i="20"/>
  <c r="C26" i="20"/>
  <c r="E25" i="20"/>
  <c r="E26" i="20" s="1"/>
  <c r="D23" i="20"/>
  <c r="E23" i="20" s="1"/>
  <c r="C23" i="20"/>
  <c r="E22" i="20"/>
  <c r="E21" i="20"/>
  <c r="E14" i="20"/>
  <c r="E13" i="20" s="1"/>
  <c r="E16" i="20" s="1"/>
  <c r="D13" i="20"/>
  <c r="D16" i="20" s="1"/>
  <c r="C13" i="20"/>
  <c r="C16" i="20" s="1"/>
  <c r="E12" i="20"/>
  <c r="D9" i="20"/>
  <c r="C9" i="20"/>
  <c r="E7" i="20"/>
  <c r="E6" i="20"/>
  <c r="D111" i="19"/>
  <c r="C111" i="19"/>
  <c r="E109" i="19"/>
  <c r="E108" i="19"/>
  <c r="E104" i="19"/>
  <c r="E103" i="19" s="1"/>
  <c r="D103" i="19"/>
  <c r="D105" i="19" s="1"/>
  <c r="E85" i="19"/>
  <c r="E63" i="19"/>
  <c r="E62" i="19"/>
  <c r="E61" i="19"/>
  <c r="E60" i="19"/>
  <c r="C105" i="19"/>
  <c r="D56" i="19"/>
  <c r="C56" i="19"/>
  <c r="E53" i="19"/>
  <c r="E56" i="19" s="1"/>
  <c r="E46" i="19"/>
  <c r="E45" i="19" s="1"/>
  <c r="D45" i="19"/>
  <c r="C45" i="19"/>
  <c r="E41" i="19"/>
  <c r="E39" i="19" s="1"/>
  <c r="D39" i="19"/>
  <c r="C39" i="19"/>
  <c r="E35" i="19"/>
  <c r="E34" i="19" s="1"/>
  <c r="D34" i="19"/>
  <c r="C34" i="19"/>
  <c r="C29" i="19"/>
  <c r="D25" i="19"/>
  <c r="C25" i="19"/>
  <c r="E23" i="19"/>
  <c r="E22" i="19"/>
  <c r="D17" i="19"/>
  <c r="D19" i="19" s="1"/>
  <c r="C17" i="19"/>
  <c r="C19" i="19" s="1"/>
  <c r="E15" i="19"/>
  <c r="E13" i="19"/>
  <c r="E12" i="19"/>
  <c r="E11" i="19"/>
  <c r="E10" i="19"/>
  <c r="E9" i="19"/>
  <c r="E8" i="19"/>
  <c r="E7" i="19"/>
  <c r="E6" i="19"/>
  <c r="E105" i="19" l="1"/>
  <c r="E34" i="20"/>
  <c r="E30" i="20"/>
  <c r="C39" i="20"/>
  <c r="E9" i="20"/>
  <c r="E39" i="20" s="1"/>
  <c r="E111" i="19"/>
  <c r="D50" i="19"/>
  <c r="E50" i="19"/>
  <c r="C50" i="19"/>
  <c r="E25" i="19"/>
  <c r="E17" i="19"/>
  <c r="E19" i="19" s="1"/>
  <c r="D39" i="20"/>
  <c r="C112" i="19"/>
  <c r="D112" i="19" l="1"/>
  <c r="E112" i="19"/>
  <c r="C15" i="44"/>
  <c r="R29" i="7"/>
  <c r="R12" i="7"/>
  <c r="E19" i="7"/>
  <c r="D19" i="7"/>
  <c r="D18" i="7"/>
  <c r="F64" i="41" l="1"/>
  <c r="E64" i="41"/>
  <c r="D64" i="41"/>
  <c r="E58" i="41"/>
  <c r="D58" i="41"/>
  <c r="E57" i="41"/>
  <c r="D57" i="41"/>
  <c r="E56" i="41"/>
  <c r="D56" i="41"/>
  <c r="E55" i="41"/>
  <c r="D55" i="41"/>
  <c r="E52" i="41"/>
  <c r="D52" i="41"/>
  <c r="E51" i="41"/>
  <c r="D51" i="41"/>
  <c r="E50" i="41"/>
  <c r="D50" i="41"/>
  <c r="E49" i="41"/>
  <c r="D49" i="41"/>
  <c r="E48" i="41"/>
  <c r="D48" i="41"/>
  <c r="E47" i="41"/>
  <c r="D47" i="41"/>
  <c r="E46" i="41"/>
  <c r="D46" i="41"/>
  <c r="E44" i="41"/>
  <c r="D44" i="41"/>
  <c r="E33" i="41"/>
  <c r="D33" i="41"/>
  <c r="E32" i="41"/>
  <c r="D32" i="41"/>
  <c r="E31" i="41"/>
  <c r="D31" i="41"/>
  <c r="E30" i="41"/>
  <c r="D30" i="41"/>
  <c r="E29" i="41"/>
  <c r="D29" i="41"/>
  <c r="E28" i="41"/>
  <c r="E27" i="41"/>
  <c r="D27" i="41"/>
  <c r="F26" i="41"/>
  <c r="E26" i="41"/>
  <c r="D26" i="41"/>
  <c r="E24" i="41"/>
  <c r="D24" i="41"/>
  <c r="E23" i="41"/>
  <c r="D23" i="41"/>
  <c r="F22" i="41"/>
  <c r="E22" i="41"/>
  <c r="D22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9" i="41"/>
  <c r="E9" i="41"/>
  <c r="D9" i="41"/>
  <c r="F7" i="41"/>
  <c r="E7" i="41"/>
  <c r="D7" i="41"/>
  <c r="F6" i="41"/>
  <c r="E6" i="41"/>
  <c r="D6" i="41"/>
  <c r="F5" i="41"/>
  <c r="E5" i="41"/>
  <c r="D5" i="41"/>
  <c r="U68" i="41"/>
  <c r="T64" i="41"/>
  <c r="S64" i="41"/>
  <c r="U63" i="41"/>
  <c r="U62" i="41"/>
  <c r="U64" i="41" s="1"/>
  <c r="U61" i="41"/>
  <c r="T59" i="41"/>
  <c r="U59" i="41" s="1"/>
  <c r="S59" i="41"/>
  <c r="U58" i="41"/>
  <c r="U57" i="41"/>
  <c r="U56" i="41"/>
  <c r="U55" i="41"/>
  <c r="T53" i="41"/>
  <c r="S53" i="41"/>
  <c r="U52" i="41"/>
  <c r="U51" i="41"/>
  <c r="U50" i="41"/>
  <c r="U49" i="41"/>
  <c r="U48" i="41"/>
  <c r="U47" i="41"/>
  <c r="U46" i="41"/>
  <c r="U44" i="41"/>
  <c r="U43" i="41"/>
  <c r="U42" i="41"/>
  <c r="U41" i="41"/>
  <c r="U40" i="41"/>
  <c r="U39" i="41"/>
  <c r="U38" i="41"/>
  <c r="T34" i="41"/>
  <c r="S34" i="41"/>
  <c r="S35" i="41" s="1"/>
  <c r="U33" i="41"/>
  <c r="U32" i="41"/>
  <c r="U31" i="41"/>
  <c r="U30" i="41"/>
  <c r="U29" i="41"/>
  <c r="U34" i="41" s="1"/>
  <c r="T28" i="41"/>
  <c r="S28" i="41"/>
  <c r="U27" i="41"/>
  <c r="U26" i="41"/>
  <c r="U28" i="41" s="1"/>
  <c r="T25" i="41"/>
  <c r="T35" i="41" s="1"/>
  <c r="S25" i="41"/>
  <c r="U24" i="41"/>
  <c r="U23" i="41"/>
  <c r="U25" i="41" s="1"/>
  <c r="U22" i="41"/>
  <c r="U21" i="41"/>
  <c r="U20" i="41"/>
  <c r="U19" i="41"/>
  <c r="U18" i="41"/>
  <c r="U17" i="41"/>
  <c r="S17" i="41"/>
  <c r="S14" i="41"/>
  <c r="U13" i="41"/>
  <c r="U12" i="41"/>
  <c r="U11" i="41"/>
  <c r="U14" i="41" s="1"/>
  <c r="U9" i="41"/>
  <c r="T7" i="41"/>
  <c r="S7" i="41"/>
  <c r="U6" i="41"/>
  <c r="U5" i="41"/>
  <c r="U7" i="41" s="1"/>
  <c r="X28" i="53"/>
  <c r="U53" i="41" l="1"/>
  <c r="U35" i="41"/>
  <c r="S66" i="41"/>
  <c r="T66" i="41"/>
  <c r="U66" i="41"/>
  <c r="Y9" i="57" l="1"/>
  <c r="D9" i="57"/>
  <c r="H8" i="57"/>
  <c r="AC7" i="57"/>
  <c r="K7" i="57"/>
  <c r="U14" i="56"/>
  <c r="T14" i="56"/>
  <c r="AI9" i="57" s="1"/>
  <c r="S14" i="56"/>
  <c r="R14" i="56"/>
  <c r="Q14" i="56"/>
  <c r="P14" i="56"/>
  <c r="O14" i="56"/>
  <c r="N14" i="56"/>
  <c r="Z9" i="57" s="1"/>
  <c r="M14" i="56"/>
  <c r="L14" i="56"/>
  <c r="J14" i="56"/>
  <c r="I14" i="56"/>
  <c r="H14" i="56"/>
  <c r="I9" i="57" s="1"/>
  <c r="G14" i="56"/>
  <c r="H9" i="57" s="1"/>
  <c r="F14" i="56"/>
  <c r="G9" i="57" s="1"/>
  <c r="E14" i="56"/>
  <c r="E9" i="57" s="1"/>
  <c r="D14" i="56"/>
  <c r="C14" i="56"/>
  <c r="V13" i="56"/>
  <c r="K13" i="56"/>
  <c r="V12" i="56"/>
  <c r="K12" i="56"/>
  <c r="V11" i="56"/>
  <c r="K11" i="56"/>
  <c r="V10" i="56"/>
  <c r="K10" i="56"/>
  <c r="V9" i="56"/>
  <c r="K9" i="56"/>
  <c r="V8" i="56"/>
  <c r="K8" i="56"/>
  <c r="V7" i="56"/>
  <c r="K7" i="56"/>
  <c r="V6" i="56"/>
  <c r="K6" i="56"/>
  <c r="V5" i="56"/>
  <c r="K5" i="56"/>
  <c r="V4" i="56"/>
  <c r="V14" i="56" s="1"/>
  <c r="K4" i="56"/>
  <c r="AI8" i="57"/>
  <c r="Z8" i="57"/>
  <c r="Y8" i="57"/>
  <c r="I8" i="57"/>
  <c r="G8" i="57"/>
  <c r="E8" i="57"/>
  <c r="D8" i="57"/>
  <c r="AI7" i="57"/>
  <c r="AB7" i="57"/>
  <c r="Y7" i="57"/>
  <c r="J7" i="57"/>
  <c r="I7" i="57"/>
  <c r="H7" i="57"/>
  <c r="G7" i="57"/>
  <c r="E7" i="57"/>
  <c r="Z7" i="57"/>
  <c r="D7" i="57"/>
  <c r="C8" i="57" l="1"/>
  <c r="K14" i="56"/>
  <c r="C9" i="57"/>
  <c r="C7" i="57"/>
  <c r="G88" i="7" l="1"/>
  <c r="G82" i="7"/>
  <c r="G14" i="7"/>
  <c r="G35" i="7" s="1"/>
  <c r="G7" i="7"/>
  <c r="M39" i="40"/>
  <c r="L39" i="40"/>
  <c r="H39" i="40"/>
  <c r="N39" i="40" s="1"/>
  <c r="M38" i="40"/>
  <c r="L38" i="40"/>
  <c r="H38" i="40"/>
  <c r="N38" i="40" s="1"/>
  <c r="L37" i="40"/>
  <c r="H37" i="40"/>
  <c r="N37" i="40" s="1"/>
  <c r="M36" i="40"/>
  <c r="M35" i="40"/>
  <c r="L35" i="40"/>
  <c r="H35" i="40"/>
  <c r="N35" i="40" s="1"/>
  <c r="L4" i="40"/>
  <c r="M45" i="6"/>
  <c r="J45" i="6"/>
  <c r="G45" i="6"/>
  <c r="AE58" i="5"/>
  <c r="AE17" i="5"/>
  <c r="AE14" i="5"/>
  <c r="AE7" i="5"/>
  <c r="AB58" i="5"/>
  <c r="AB52" i="5"/>
  <c r="AB34" i="5"/>
  <c r="AB35" i="5" s="1"/>
  <c r="AB28" i="5"/>
  <c r="AB25" i="5"/>
  <c r="AB17" i="5"/>
  <c r="AB14" i="5"/>
  <c r="AB7" i="5"/>
  <c r="V63" i="5"/>
  <c r="V58" i="5"/>
  <c r="D46" i="5"/>
  <c r="D33" i="5"/>
  <c r="V25" i="5"/>
  <c r="V35" i="5" s="1"/>
  <c r="V17" i="5"/>
  <c r="V14" i="5"/>
  <c r="V7" i="5"/>
  <c r="S58" i="5"/>
  <c r="D58" i="5" s="1"/>
  <c r="S28" i="5"/>
  <c r="S25" i="5"/>
  <c r="S17" i="5"/>
  <c r="S14" i="5"/>
  <c r="S7" i="5"/>
  <c r="P63" i="5"/>
  <c r="P58" i="5"/>
  <c r="P52" i="5"/>
  <c r="P34" i="5"/>
  <c r="P28" i="5"/>
  <c r="P25" i="5"/>
  <c r="P17" i="5"/>
  <c r="P14" i="5"/>
  <c r="P7" i="5"/>
  <c r="J63" i="5"/>
  <c r="J58" i="5"/>
  <c r="J52" i="5"/>
  <c r="J34" i="5"/>
  <c r="J35" i="5" s="1"/>
  <c r="J28" i="5"/>
  <c r="J25" i="5"/>
  <c r="J17" i="5"/>
  <c r="J14" i="5"/>
  <c r="J7" i="5"/>
  <c r="G63" i="5"/>
  <c r="G58" i="5"/>
  <c r="G17" i="5"/>
  <c r="G14" i="5"/>
  <c r="G7" i="5"/>
  <c r="E62" i="5"/>
  <c r="D62" i="5"/>
  <c r="E61" i="5"/>
  <c r="D61" i="5"/>
  <c r="E60" i="5"/>
  <c r="D60" i="5"/>
  <c r="E57" i="5"/>
  <c r="D57" i="5"/>
  <c r="E56" i="5"/>
  <c r="D56" i="5"/>
  <c r="E55" i="5"/>
  <c r="D55" i="5"/>
  <c r="E54" i="5"/>
  <c r="D54" i="5"/>
  <c r="E51" i="5"/>
  <c r="E50" i="5"/>
  <c r="D50" i="5"/>
  <c r="E49" i="5"/>
  <c r="D49" i="5"/>
  <c r="E48" i="5"/>
  <c r="D48" i="5"/>
  <c r="E47" i="5"/>
  <c r="D47" i="5"/>
  <c r="E46" i="5"/>
  <c r="E45" i="5"/>
  <c r="D45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3" i="5"/>
  <c r="E32" i="5"/>
  <c r="D32" i="5"/>
  <c r="E31" i="5"/>
  <c r="D31" i="5"/>
  <c r="E30" i="5"/>
  <c r="D30" i="5"/>
  <c r="E29" i="5"/>
  <c r="E27" i="5"/>
  <c r="D27" i="5"/>
  <c r="E26" i="5"/>
  <c r="D26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3" i="5"/>
  <c r="D13" i="5"/>
  <c r="E12" i="5"/>
  <c r="D12" i="5"/>
  <c r="E11" i="5"/>
  <c r="D11" i="5"/>
  <c r="E9" i="5"/>
  <c r="D9" i="5"/>
  <c r="E6" i="5"/>
  <c r="D6" i="5"/>
  <c r="E5" i="5"/>
  <c r="D5" i="5"/>
  <c r="AI63" i="5"/>
  <c r="AJ63" i="5" s="1"/>
  <c r="AH63" i="5"/>
  <c r="AJ62" i="5"/>
  <c r="AJ61" i="5"/>
  <c r="AJ60" i="5"/>
  <c r="AJ59" i="5"/>
  <c r="AI58" i="5"/>
  <c r="AJ58" i="5" s="1"/>
  <c r="AH58" i="5"/>
  <c r="AJ57" i="5"/>
  <c r="AJ56" i="5"/>
  <c r="AJ55" i="5"/>
  <c r="AJ54" i="5"/>
  <c r="AI52" i="5"/>
  <c r="AH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I34" i="5"/>
  <c r="AJ33" i="5"/>
  <c r="AJ32" i="5"/>
  <c r="AJ31" i="5"/>
  <c r="AJ30" i="5"/>
  <c r="AJ29" i="5"/>
  <c r="AI28" i="5"/>
  <c r="AJ28" i="5" s="1"/>
  <c r="AJ27" i="5"/>
  <c r="AJ26" i="5"/>
  <c r="AJ25" i="5"/>
  <c r="AI25" i="5"/>
  <c r="AJ24" i="5"/>
  <c r="AJ23" i="5"/>
  <c r="AJ22" i="5"/>
  <c r="AJ21" i="5"/>
  <c r="AJ20" i="5"/>
  <c r="AJ19" i="5"/>
  <c r="AJ18" i="5"/>
  <c r="AI17" i="5"/>
  <c r="AJ17" i="5"/>
  <c r="AJ16" i="5"/>
  <c r="AJ15" i="5"/>
  <c r="AI14" i="5"/>
  <c r="AJ14" i="5" s="1"/>
  <c r="AJ13" i="5"/>
  <c r="AJ12" i="5"/>
  <c r="AJ11" i="5"/>
  <c r="AJ9" i="5"/>
  <c r="AI7" i="5"/>
  <c r="AJ7" i="5" s="1"/>
  <c r="AJ6" i="5"/>
  <c r="AJ5" i="5"/>
  <c r="AB64" i="41"/>
  <c r="AB53" i="41"/>
  <c r="AB34" i="41"/>
  <c r="AB28" i="41"/>
  <c r="AB25" i="41"/>
  <c r="AB17" i="41"/>
  <c r="AB14" i="41"/>
  <c r="AB7" i="41"/>
  <c r="Y59" i="41"/>
  <c r="Y53" i="41"/>
  <c r="Y28" i="41"/>
  <c r="Y25" i="41"/>
  <c r="Y17" i="41"/>
  <c r="Y14" i="41"/>
  <c r="Y7" i="41"/>
  <c r="V64" i="41"/>
  <c r="V59" i="41"/>
  <c r="V53" i="41"/>
  <c r="V34" i="41"/>
  <c r="V35" i="41" s="1"/>
  <c r="V28" i="41"/>
  <c r="V25" i="41"/>
  <c r="V17" i="41"/>
  <c r="V14" i="41"/>
  <c r="V7" i="41"/>
  <c r="P64" i="41"/>
  <c r="P59" i="41"/>
  <c r="P53" i="41"/>
  <c r="P34" i="41"/>
  <c r="P28" i="41"/>
  <c r="P25" i="41"/>
  <c r="P17" i="41"/>
  <c r="P14" i="41"/>
  <c r="P7" i="41"/>
  <c r="M64" i="41"/>
  <c r="M59" i="41"/>
  <c r="M28" i="41"/>
  <c r="M35" i="41" s="1"/>
  <c r="M25" i="41"/>
  <c r="M17" i="41"/>
  <c r="M14" i="41"/>
  <c r="M7" i="41"/>
  <c r="J64" i="41"/>
  <c r="J59" i="41"/>
  <c r="J53" i="41"/>
  <c r="J34" i="41"/>
  <c r="J28" i="41"/>
  <c r="J25" i="41"/>
  <c r="J17" i="41"/>
  <c r="J14" i="41"/>
  <c r="J7" i="41"/>
  <c r="G64" i="41"/>
  <c r="G59" i="41"/>
  <c r="G53" i="41"/>
  <c r="G34" i="41"/>
  <c r="G28" i="41"/>
  <c r="G25" i="41"/>
  <c r="G17" i="41"/>
  <c r="G14" i="41"/>
  <c r="G7" i="41"/>
  <c r="AD68" i="41"/>
  <c r="AD64" i="41"/>
  <c r="AC64" i="41"/>
  <c r="AD63" i="41"/>
  <c r="AD62" i="41"/>
  <c r="AD61" i="41"/>
  <c r="AC59" i="41"/>
  <c r="AD59" i="41" s="1"/>
  <c r="AD58" i="41"/>
  <c r="AD57" i="41"/>
  <c r="AD56" i="41"/>
  <c r="AD55" i="41"/>
  <c r="AC53" i="41"/>
  <c r="AD53" i="41"/>
  <c r="AD52" i="41"/>
  <c r="AD51" i="41"/>
  <c r="AD50" i="41"/>
  <c r="AD49" i="41"/>
  <c r="AD48" i="41"/>
  <c r="AD47" i="41"/>
  <c r="AD46" i="41"/>
  <c r="AD44" i="41"/>
  <c r="AD43" i="41"/>
  <c r="AD42" i="41"/>
  <c r="AD41" i="41"/>
  <c r="AD40" i="41"/>
  <c r="AD39" i="41"/>
  <c r="AD38" i="41"/>
  <c r="AC34" i="41"/>
  <c r="AD33" i="41"/>
  <c r="AD32" i="41"/>
  <c r="AD31" i="41"/>
  <c r="AD30" i="41"/>
  <c r="AD29" i="41"/>
  <c r="AC28" i="41"/>
  <c r="AD28" i="41"/>
  <c r="AD27" i="41"/>
  <c r="AD26" i="41"/>
  <c r="AC25" i="41"/>
  <c r="AD24" i="41"/>
  <c r="AD23" i="41"/>
  <c r="AD22" i="41"/>
  <c r="AD21" i="41"/>
  <c r="AD20" i="41"/>
  <c r="AD19" i="41"/>
  <c r="AD18" i="41"/>
  <c r="AD17" i="41"/>
  <c r="AC17" i="41"/>
  <c r="AD16" i="41"/>
  <c r="AD15" i="41"/>
  <c r="AC14" i="41"/>
  <c r="AD14" i="41"/>
  <c r="AD13" i="41"/>
  <c r="AD12" i="41"/>
  <c r="AD11" i="41"/>
  <c r="AD9" i="41"/>
  <c r="AD7" i="41"/>
  <c r="AC7" i="41"/>
  <c r="AD6" i="41"/>
  <c r="AD5" i="41"/>
  <c r="D63" i="1"/>
  <c r="D52" i="1"/>
  <c r="D43" i="1"/>
  <c r="AI35" i="5" l="1"/>
  <c r="D59" i="41"/>
  <c r="E7" i="5"/>
  <c r="AC35" i="41"/>
  <c r="AC66" i="41" s="1"/>
  <c r="AD25" i="41"/>
  <c r="F30" i="40"/>
  <c r="F53" i="40" s="1"/>
  <c r="L36" i="40"/>
  <c r="N36" i="40"/>
  <c r="P35" i="5"/>
  <c r="D28" i="5"/>
  <c r="Y35" i="41"/>
  <c r="D25" i="41"/>
  <c r="D53" i="41"/>
  <c r="P35" i="41"/>
  <c r="P66" i="41"/>
  <c r="D28" i="41"/>
  <c r="J35" i="41"/>
  <c r="D34" i="41"/>
  <c r="G35" i="41"/>
  <c r="AJ52" i="5"/>
  <c r="J95" i="7"/>
  <c r="G95" i="7"/>
  <c r="M58" i="6"/>
  <c r="J58" i="6"/>
  <c r="G58" i="6"/>
  <c r="AE65" i="5"/>
  <c r="AB65" i="5"/>
  <c r="D7" i="5"/>
  <c r="V65" i="5"/>
  <c r="S65" i="5"/>
  <c r="D51" i="5"/>
  <c r="P65" i="5"/>
  <c r="D52" i="5"/>
  <c r="D25" i="5"/>
  <c r="D14" i="5"/>
  <c r="D29" i="5"/>
  <c r="D34" i="5"/>
  <c r="J65" i="5"/>
  <c r="AJ35" i="5"/>
  <c r="AH65" i="5"/>
  <c r="AI65" i="5"/>
  <c r="AJ34" i="5"/>
  <c r="AB35" i="41"/>
  <c r="AD35" i="41" s="1"/>
  <c r="V66" i="41"/>
  <c r="M66" i="41"/>
  <c r="J66" i="41"/>
  <c r="G66" i="41"/>
  <c r="AD34" i="41"/>
  <c r="D65" i="1"/>
  <c r="D35" i="41" l="1"/>
  <c r="AJ65" i="5"/>
  <c r="D35" i="5"/>
  <c r="G65" i="5"/>
  <c r="AB66" i="41"/>
  <c r="AD66" i="41" s="1"/>
  <c r="C17" i="45" l="1"/>
  <c r="D15" i="45"/>
  <c r="D16" i="45"/>
  <c r="D3" i="45"/>
  <c r="B17" i="45"/>
  <c r="B10" i="45"/>
  <c r="B7" i="45"/>
  <c r="B21" i="45" l="1"/>
  <c r="B26" i="44"/>
  <c r="B18" i="44"/>
  <c r="B15" i="44"/>
  <c r="B21" i="44" l="1"/>
  <c r="D16" i="43"/>
  <c r="C16" i="43"/>
  <c r="B16" i="43"/>
  <c r="D12" i="43"/>
  <c r="C13" i="43"/>
  <c r="B13" i="43"/>
  <c r="B18" i="43" l="1"/>
  <c r="C18" i="43"/>
  <c r="D24" i="44" l="1"/>
  <c r="D26" i="44" s="1"/>
  <c r="C26" i="44"/>
  <c r="W53" i="41" l="1"/>
  <c r="D11" i="43" l="1"/>
  <c r="C12" i="40" l="1"/>
  <c r="D16" i="37"/>
  <c r="K88" i="7" l="1"/>
  <c r="L88" i="7" s="1"/>
  <c r="M88" i="7"/>
  <c r="N88" i="7"/>
  <c r="P88" i="7"/>
  <c r="Q88" i="7"/>
  <c r="S88" i="7"/>
  <c r="T88" i="7"/>
  <c r="V88" i="7"/>
  <c r="W88" i="7"/>
  <c r="Y88" i="7"/>
  <c r="Z88" i="7"/>
  <c r="AA88" i="7" s="1"/>
  <c r="AB88" i="7"/>
  <c r="AC88" i="7"/>
  <c r="AE88" i="7"/>
  <c r="AF88" i="7"/>
  <c r="H88" i="7"/>
  <c r="I88" i="7" s="1"/>
  <c r="AE82" i="7"/>
  <c r="AC82" i="7"/>
  <c r="AB82" i="7"/>
  <c r="Z82" i="7"/>
  <c r="Y82" i="7"/>
  <c r="W82" i="7"/>
  <c r="V82" i="7"/>
  <c r="N82" i="7"/>
  <c r="M82" i="7"/>
  <c r="K82" i="7"/>
  <c r="L82" i="7" s="1"/>
  <c r="AF82" i="7"/>
  <c r="U82" i="7"/>
  <c r="T82" i="7"/>
  <c r="S82" i="7"/>
  <c r="R82" i="7"/>
  <c r="Q82" i="7"/>
  <c r="P82" i="7"/>
  <c r="P7" i="7"/>
  <c r="Q7" i="7"/>
  <c r="S7" i="7"/>
  <c r="T7" i="7"/>
  <c r="P14" i="7"/>
  <c r="Q14" i="7"/>
  <c r="R14" i="7"/>
  <c r="T14" i="7"/>
  <c r="U14" i="7"/>
  <c r="P17" i="7"/>
  <c r="Q17" i="7"/>
  <c r="R17" i="7"/>
  <c r="T17" i="7"/>
  <c r="U17" i="7"/>
  <c r="P25" i="7"/>
  <c r="Q25" i="7"/>
  <c r="R25" i="7"/>
  <c r="T25" i="7"/>
  <c r="U25" i="7"/>
  <c r="P28" i="7"/>
  <c r="Q28" i="7"/>
  <c r="R28" i="7"/>
  <c r="T28" i="7"/>
  <c r="U28" i="7"/>
  <c r="P34" i="7"/>
  <c r="Q34" i="7"/>
  <c r="R34" i="7"/>
  <c r="T34" i="7"/>
  <c r="U34" i="7"/>
  <c r="P72" i="7"/>
  <c r="Q72" i="7"/>
  <c r="R72" i="7"/>
  <c r="S72" i="7"/>
  <c r="T72" i="7"/>
  <c r="U72" i="7"/>
  <c r="P101" i="7"/>
  <c r="Q101" i="7"/>
  <c r="R101" i="7"/>
  <c r="T101" i="7"/>
  <c r="U101" i="7"/>
  <c r="S101" i="7"/>
  <c r="H82" i="7"/>
  <c r="D88" i="7" l="1"/>
  <c r="T35" i="7"/>
  <c r="P35" i="7"/>
  <c r="P95" i="7" s="1"/>
  <c r="U35" i="7"/>
  <c r="Q35" i="7"/>
  <c r="Q95" i="7" s="1"/>
  <c r="U7" i="7"/>
  <c r="AG88" i="7"/>
  <c r="R35" i="7"/>
  <c r="X82" i="7"/>
  <c r="AD82" i="7"/>
  <c r="X88" i="7"/>
  <c r="I82" i="7"/>
  <c r="U88" i="7"/>
  <c r="O88" i="7"/>
  <c r="R7" i="7"/>
  <c r="O82" i="7"/>
  <c r="AA82" i="7"/>
  <c r="R88" i="7"/>
  <c r="AG82" i="7"/>
  <c r="AD88" i="7"/>
  <c r="E88" i="7"/>
  <c r="T95" i="7"/>
  <c r="S95" i="7"/>
  <c r="D82" i="7"/>
  <c r="Y21" i="8" s="1"/>
  <c r="E82" i="7"/>
  <c r="Z21" i="8" s="1"/>
  <c r="F88" i="7" l="1"/>
  <c r="F82" i="7"/>
  <c r="AA21" i="8" s="1"/>
  <c r="G48" i="59"/>
  <c r="F48" i="59"/>
  <c r="E48" i="59"/>
  <c r="F15" i="59"/>
  <c r="G15" i="59" s="1"/>
  <c r="E15" i="59"/>
  <c r="F15" i="52"/>
  <c r="G13" i="52"/>
  <c r="G14" i="52"/>
  <c r="G13" i="59"/>
  <c r="D44" i="52"/>
  <c r="D45" i="52"/>
  <c r="D46" i="52"/>
  <c r="D47" i="52"/>
  <c r="D44" i="59"/>
  <c r="D45" i="59"/>
  <c r="D46" i="59"/>
  <c r="D47" i="59"/>
  <c r="G46" i="59"/>
  <c r="G47" i="59"/>
  <c r="G46" i="52"/>
  <c r="G47" i="52"/>
  <c r="I13" i="59"/>
  <c r="H13" i="59"/>
  <c r="D13" i="59"/>
  <c r="C15" i="59"/>
  <c r="B15" i="59"/>
  <c r="I13" i="52"/>
  <c r="H13" i="52"/>
  <c r="D13" i="52"/>
  <c r="C15" i="52"/>
  <c r="D17" i="37"/>
  <c r="D15" i="37"/>
  <c r="D14" i="37"/>
  <c r="D13" i="37"/>
  <c r="D12" i="37"/>
  <c r="D11" i="37"/>
  <c r="D18" i="37" l="1"/>
  <c r="C18" i="37"/>
  <c r="J13" i="52"/>
  <c r="J13" i="59"/>
  <c r="AF62" i="7"/>
  <c r="AF72" i="7" s="1"/>
  <c r="H7" i="7"/>
  <c r="K7" i="7"/>
  <c r="L7" i="7" s="1"/>
  <c r="N7" i="7"/>
  <c r="Y7" i="7"/>
  <c r="Z7" i="7"/>
  <c r="AA7" i="7" s="1"/>
  <c r="AC7" i="7"/>
  <c r="AE7" i="7"/>
  <c r="AF7" i="7"/>
  <c r="AG7" i="7" s="1"/>
  <c r="K35" i="5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27" i="43"/>
  <c r="AD7" i="7" l="1"/>
  <c r="O7" i="7"/>
  <c r="I7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J30" i="59" l="1"/>
  <c r="D48" i="59"/>
  <c r="J48" i="59" s="1"/>
  <c r="D42" i="52"/>
  <c r="D43" i="52"/>
  <c r="D41" i="52"/>
  <c r="F40" i="52"/>
  <c r="F48" i="52" s="1"/>
  <c r="E40" i="52"/>
  <c r="E48" i="52" s="1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D20" i="52"/>
  <c r="D21" i="52"/>
  <c r="D22" i="52"/>
  <c r="C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30" i="52" l="1"/>
  <c r="D3" i="44"/>
  <c r="D4" i="44"/>
  <c r="D5" i="44"/>
  <c r="D6" i="44"/>
  <c r="D7" i="44"/>
  <c r="D9" i="44"/>
  <c r="D10" i="44"/>
  <c r="C41" i="43"/>
  <c r="C42" i="43" s="1"/>
  <c r="B42" i="43"/>
  <c r="B44" i="43" s="1"/>
  <c r="D13" i="45"/>
  <c r="D12" i="45"/>
  <c r="D9" i="45"/>
  <c r="D10" i="45" s="1"/>
  <c r="C10" i="45"/>
  <c r="C7" i="45"/>
  <c r="C21" i="45" s="1"/>
  <c r="D4" i="45"/>
  <c r="D5" i="45"/>
  <c r="D6" i="45"/>
  <c r="D7" i="45" l="1"/>
  <c r="C44" i="43"/>
  <c r="D41" i="43"/>
  <c r="D42" i="43" s="1"/>
  <c r="D35" i="43"/>
  <c r="D25" i="43"/>
  <c r="D24" i="43"/>
  <c r="D6" i="43"/>
  <c r="D7" i="43"/>
  <c r="D8" i="43"/>
  <c r="D9" i="43"/>
  <c r="D10" i="43"/>
  <c r="D5" i="43"/>
  <c r="C18" i="44"/>
  <c r="C21" i="44" s="1"/>
  <c r="D17" i="44"/>
  <c r="D18" i="44" l="1"/>
  <c r="D44" i="43"/>
  <c r="D13" i="43"/>
  <c r="D18" i="43" s="1"/>
  <c r="D14" i="44"/>
  <c r="D15" i="44" s="1"/>
  <c r="D21" i="44" s="1"/>
  <c r="E34" i="1" l="1"/>
  <c r="F30" i="1"/>
  <c r="F31" i="1"/>
  <c r="F32" i="1"/>
  <c r="F33" i="1"/>
  <c r="F29" i="1"/>
  <c r="E28" i="1"/>
  <c r="F27" i="1"/>
  <c r="F26" i="1"/>
  <c r="F28" i="1" l="1"/>
  <c r="F34" i="1"/>
  <c r="F19" i="1"/>
  <c r="F20" i="1"/>
  <c r="F21" i="1"/>
  <c r="F22" i="1"/>
  <c r="F23" i="1"/>
  <c r="F24" i="1"/>
  <c r="F18" i="1"/>
  <c r="E25" i="1"/>
  <c r="F16" i="1"/>
  <c r="F15" i="1"/>
  <c r="F17" i="1" s="1"/>
  <c r="E17" i="1"/>
  <c r="E14" i="1"/>
  <c r="F12" i="1"/>
  <c r="F13" i="1"/>
  <c r="F11" i="1"/>
  <c r="F9" i="1"/>
  <c r="E7" i="1"/>
  <c r="F6" i="1"/>
  <c r="E50" i="9"/>
  <c r="E78" i="9"/>
  <c r="E77" i="9"/>
  <c r="E69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AB72" i="7"/>
  <c r="AE62" i="7"/>
  <c r="C53" i="40"/>
  <c r="V18" i="8" s="1"/>
  <c r="E8" i="40"/>
  <c r="D7" i="37"/>
  <c r="C7" i="37"/>
  <c r="I9" i="6"/>
  <c r="F14" i="1" l="1"/>
  <c r="AE72" i="7"/>
  <c r="AG62" i="7"/>
  <c r="E35" i="1"/>
  <c r="F25" i="1"/>
  <c r="F35" i="1" l="1"/>
  <c r="AG72" i="7"/>
  <c r="X5" i="5"/>
  <c r="X6" i="5"/>
  <c r="X7" i="5" s="1"/>
  <c r="W7" i="5"/>
  <c r="X9" i="5"/>
  <c r="X11" i="5"/>
  <c r="X12" i="5"/>
  <c r="X13" i="5"/>
  <c r="W14" i="5"/>
  <c r="X15" i="5"/>
  <c r="X16" i="5"/>
  <c r="W17" i="5"/>
  <c r="X17" i="5" s="1"/>
  <c r="X18" i="5"/>
  <c r="X19" i="5"/>
  <c r="X20" i="5"/>
  <c r="X21" i="5"/>
  <c r="X22" i="5"/>
  <c r="X23" i="5"/>
  <c r="X24" i="5"/>
  <c r="W25" i="5"/>
  <c r="X26" i="5"/>
  <c r="X27" i="5"/>
  <c r="X28" i="5"/>
  <c r="W28" i="5"/>
  <c r="X29" i="5"/>
  <c r="X30" i="5"/>
  <c r="X31" i="5"/>
  <c r="X32" i="5"/>
  <c r="X33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52" i="5"/>
  <c r="X54" i="5"/>
  <c r="X55" i="5"/>
  <c r="X56" i="5"/>
  <c r="X57" i="5"/>
  <c r="W58" i="5"/>
  <c r="X58" i="5"/>
  <c r="X59" i="5"/>
  <c r="X60" i="5"/>
  <c r="X61" i="5"/>
  <c r="X62" i="5"/>
  <c r="W63" i="5"/>
  <c r="X63" i="5" s="1"/>
  <c r="AF7" i="5"/>
  <c r="AC7" i="5"/>
  <c r="Z7" i="5"/>
  <c r="Y7" i="5"/>
  <c r="T7" i="5"/>
  <c r="Q7" i="5"/>
  <c r="N7" i="5"/>
  <c r="K7" i="5"/>
  <c r="H7" i="5"/>
  <c r="N59" i="41"/>
  <c r="Z59" i="41"/>
  <c r="W59" i="41"/>
  <c r="Q59" i="41"/>
  <c r="K59" i="41"/>
  <c r="H59" i="41"/>
  <c r="E59" i="41" l="1"/>
  <c r="X52" i="5"/>
  <c r="X14" i="5"/>
  <c r="X25" i="5"/>
  <c r="W35" i="5"/>
  <c r="X35" i="5" s="1"/>
  <c r="H39" i="52"/>
  <c r="Q7" i="41"/>
  <c r="R7" i="41" s="1"/>
  <c r="W65" i="5" l="1"/>
  <c r="X65" i="5" s="1"/>
  <c r="F69" i="7" l="1"/>
  <c r="I13" i="18" s="1"/>
  <c r="E69" i="7"/>
  <c r="H13" i="18" s="1"/>
  <c r="E70" i="7"/>
  <c r="H17" i="18" s="1"/>
  <c r="D69" i="7"/>
  <c r="G13" i="18" s="1"/>
  <c r="D29" i="18" l="1"/>
  <c r="D28" i="18"/>
  <c r="E28" i="18"/>
  <c r="D26" i="18"/>
  <c r="D25" i="18"/>
  <c r="D27" i="18" l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J45" i="52" s="1"/>
  <c r="G3" i="52"/>
  <c r="J19" i="52"/>
  <c r="D31" i="52"/>
  <c r="J31" i="52" s="1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E15" i="52"/>
  <c r="D29" i="52"/>
  <c r="J29" i="52" s="1"/>
  <c r="H26" i="52"/>
  <c r="D23" i="52"/>
  <c r="J23" i="52" s="1"/>
  <c r="H18" i="52"/>
  <c r="D8" i="45"/>
  <c r="D11" i="45"/>
  <c r="D14" i="45"/>
  <c r="D17" i="45" s="1"/>
  <c r="D19" i="45"/>
  <c r="D24" i="17"/>
  <c r="E24" i="17"/>
  <c r="B20" i="30" s="1"/>
  <c r="C24" i="17"/>
  <c r="F20" i="30" l="1"/>
  <c r="N20" i="30"/>
  <c r="J20" i="30"/>
  <c r="E20" i="30"/>
  <c r="D20" i="30"/>
  <c r="K20" i="30"/>
  <c r="M20" i="30"/>
  <c r="L20" i="30"/>
  <c r="G20" i="30"/>
  <c r="I20" i="30"/>
  <c r="H20" i="30"/>
  <c r="C20" i="30"/>
  <c r="D21" i="45"/>
  <c r="J15" i="52"/>
  <c r="I48" i="52"/>
  <c r="H29" i="52"/>
  <c r="D26" i="52"/>
  <c r="J26" i="52" s="1"/>
  <c r="H40" i="52"/>
  <c r="G40" i="52"/>
  <c r="J40" i="52" s="1"/>
  <c r="H23" i="52"/>
  <c r="D18" i="52"/>
  <c r="J18" i="52" s="1"/>
  <c r="B48" i="52"/>
  <c r="H48" i="52" s="1"/>
  <c r="H15" i="52"/>
  <c r="J47" i="52"/>
  <c r="E30" i="52"/>
  <c r="O20" i="30" l="1"/>
  <c r="G48" i="52"/>
  <c r="H30" i="52"/>
  <c r="D30" i="52"/>
  <c r="AF100" i="7"/>
  <c r="AF101" i="7" s="1"/>
  <c r="AE100" i="7"/>
  <c r="AE101" i="7" s="1"/>
  <c r="D23" i="17" l="1"/>
  <c r="D11" i="18" s="1"/>
  <c r="D10" i="18" s="1"/>
  <c r="J30" i="52"/>
  <c r="D48" i="52"/>
  <c r="J48" i="52" s="1"/>
  <c r="W9" i="57" l="1"/>
  <c r="C23" i="17"/>
  <c r="C11" i="18" s="1"/>
  <c r="E23" i="17"/>
  <c r="B19" i="30" s="1"/>
  <c r="H19" i="30" l="1"/>
  <c r="H21" i="30" s="1"/>
  <c r="H22" i="30" s="1"/>
  <c r="D19" i="30"/>
  <c r="D21" i="30" s="1"/>
  <c r="D22" i="30" s="1"/>
  <c r="K19" i="30"/>
  <c r="K21" i="30" s="1"/>
  <c r="K22" i="30" s="1"/>
  <c r="L19" i="30"/>
  <c r="L21" i="30" s="1"/>
  <c r="L22" i="30" s="1"/>
  <c r="F19" i="30"/>
  <c r="F21" i="30" s="1"/>
  <c r="F22" i="30" s="1"/>
  <c r="J19" i="30"/>
  <c r="J21" i="30" s="1"/>
  <c r="J22" i="30" s="1"/>
  <c r="C19" i="30"/>
  <c r="E19" i="30"/>
  <c r="E21" i="30" s="1"/>
  <c r="E22" i="30" s="1"/>
  <c r="I19" i="30"/>
  <c r="I21" i="30" s="1"/>
  <c r="I22" i="30" s="1"/>
  <c r="N19" i="30"/>
  <c r="N21" i="30" s="1"/>
  <c r="N22" i="30" s="1"/>
  <c r="G19" i="30"/>
  <c r="G21" i="30" s="1"/>
  <c r="G22" i="30" s="1"/>
  <c r="M19" i="30"/>
  <c r="M21" i="30" s="1"/>
  <c r="M22" i="30" s="1"/>
  <c r="B21" i="30"/>
  <c r="E11" i="18"/>
  <c r="E10" i="18" s="1"/>
  <c r="O19" i="30" l="1"/>
  <c r="O21" i="30" s="1"/>
  <c r="O22" i="30" s="1"/>
  <c r="C21" i="30"/>
  <c r="C22" i="30" s="1"/>
  <c r="D6" i="7" l="1"/>
  <c r="E6" i="7"/>
  <c r="D9" i="7"/>
  <c r="E9" i="7"/>
  <c r="D11" i="7"/>
  <c r="E11" i="7"/>
  <c r="D12" i="7"/>
  <c r="E12" i="7"/>
  <c r="D13" i="7"/>
  <c r="E13" i="7"/>
  <c r="D15" i="7"/>
  <c r="E15" i="7"/>
  <c r="D16" i="7"/>
  <c r="E16" i="7"/>
  <c r="E18" i="7"/>
  <c r="D20" i="7"/>
  <c r="E20" i="7"/>
  <c r="D21" i="7"/>
  <c r="E21" i="7"/>
  <c r="D22" i="7"/>
  <c r="E22" i="7"/>
  <c r="D23" i="7"/>
  <c r="E23" i="7"/>
  <c r="D24" i="7"/>
  <c r="E24" i="7"/>
  <c r="D26" i="7"/>
  <c r="E26" i="7"/>
  <c r="D27" i="7"/>
  <c r="E27" i="7"/>
  <c r="D29" i="7"/>
  <c r="E29" i="7"/>
  <c r="D30" i="7"/>
  <c r="E30" i="7"/>
  <c r="D31" i="7"/>
  <c r="E31" i="7"/>
  <c r="D32" i="7"/>
  <c r="E32" i="7"/>
  <c r="D33" i="7"/>
  <c r="E33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D63" i="7"/>
  <c r="E63" i="7"/>
  <c r="D64" i="7"/>
  <c r="G11" i="18" s="1"/>
  <c r="E64" i="7"/>
  <c r="H11" i="18" s="1"/>
  <c r="D65" i="7"/>
  <c r="G12" i="18" s="1"/>
  <c r="E65" i="7"/>
  <c r="H12" i="18" s="1"/>
  <c r="D67" i="7"/>
  <c r="G16" i="18" s="1"/>
  <c r="E67" i="7"/>
  <c r="H16" i="18" s="1"/>
  <c r="D68" i="7"/>
  <c r="G15" i="18" s="1"/>
  <c r="E68" i="7"/>
  <c r="H15" i="18" s="1"/>
  <c r="D70" i="7"/>
  <c r="G17" i="18" s="1"/>
  <c r="D71" i="7"/>
  <c r="G18" i="18" s="1"/>
  <c r="E71" i="7"/>
  <c r="H18" i="18" s="1"/>
  <c r="D74" i="7"/>
  <c r="E74" i="7"/>
  <c r="D75" i="7"/>
  <c r="E75" i="7"/>
  <c r="D76" i="7"/>
  <c r="E76" i="7"/>
  <c r="D77" i="7"/>
  <c r="E77" i="7"/>
  <c r="D78" i="7"/>
  <c r="E78" i="7"/>
  <c r="D79" i="7"/>
  <c r="E79" i="7"/>
  <c r="D80" i="7"/>
  <c r="E80" i="7"/>
  <c r="D81" i="7"/>
  <c r="E81" i="7"/>
  <c r="D83" i="7"/>
  <c r="E83" i="7"/>
  <c r="D84" i="7"/>
  <c r="E84" i="7"/>
  <c r="D85" i="7"/>
  <c r="E85" i="7"/>
  <c r="D86" i="7"/>
  <c r="E86" i="7"/>
  <c r="D87" i="7"/>
  <c r="E87" i="7"/>
  <c r="D89" i="7"/>
  <c r="E89" i="7"/>
  <c r="D90" i="7"/>
  <c r="E90" i="7"/>
  <c r="D91" i="7"/>
  <c r="E91" i="7"/>
  <c r="D92" i="7"/>
  <c r="E92" i="7"/>
  <c r="D93" i="7"/>
  <c r="E93" i="7"/>
  <c r="D98" i="7"/>
  <c r="E98" i="7"/>
  <c r="D99" i="7"/>
  <c r="E99" i="7"/>
  <c r="D100" i="7"/>
  <c r="E100" i="7"/>
  <c r="E5" i="7"/>
  <c r="D5" i="7"/>
  <c r="D12" i="9" l="1"/>
  <c r="D6" i="17" s="1"/>
  <c r="Z7" i="8"/>
  <c r="W7" i="7"/>
  <c r="E7" i="7" s="1"/>
  <c r="Z4" i="8"/>
  <c r="Y4" i="8"/>
  <c r="Z3" i="8"/>
  <c r="D22" i="17" l="1"/>
  <c r="D21" i="17"/>
  <c r="D18" i="17"/>
  <c r="D17" i="17"/>
  <c r="D12" i="17"/>
  <c r="D9" i="17"/>
  <c r="E11" i="9"/>
  <c r="E5" i="17" s="1"/>
  <c r="B4" i="30" s="1"/>
  <c r="D43" i="9"/>
  <c r="D10" i="17" s="1"/>
  <c r="D52" i="9"/>
  <c r="D11" i="17" s="1"/>
  <c r="D70" i="9"/>
  <c r="D14" i="17" s="1"/>
  <c r="D7" i="18" s="1"/>
  <c r="E70" i="9"/>
  <c r="E14" i="17" s="1"/>
  <c r="B12" i="30" s="1"/>
  <c r="D66" i="9"/>
  <c r="AG6" i="7"/>
  <c r="AG9" i="7"/>
  <c r="AG11" i="7"/>
  <c r="AG12" i="7"/>
  <c r="AG13" i="7"/>
  <c r="AG15" i="7"/>
  <c r="AG16" i="7"/>
  <c r="AG18" i="7"/>
  <c r="AG19" i="7"/>
  <c r="AG20" i="7"/>
  <c r="AG21" i="7"/>
  <c r="AG22" i="7"/>
  <c r="AG23" i="7"/>
  <c r="AG24" i="7"/>
  <c r="AG26" i="7"/>
  <c r="AG27" i="7"/>
  <c r="AG29" i="7"/>
  <c r="AG30" i="7"/>
  <c r="AG31" i="7"/>
  <c r="AG32" i="7"/>
  <c r="AG33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3" i="7"/>
  <c r="AG64" i="7"/>
  <c r="AG65" i="7"/>
  <c r="AG67" i="7"/>
  <c r="AG68" i="7"/>
  <c r="AG70" i="7"/>
  <c r="AG71" i="7"/>
  <c r="AG74" i="7"/>
  <c r="AG75" i="7"/>
  <c r="AG76" i="7"/>
  <c r="AG77" i="7"/>
  <c r="AG78" i="7"/>
  <c r="AG79" i="7"/>
  <c r="AG80" i="7"/>
  <c r="AG81" i="7"/>
  <c r="AG83" i="7"/>
  <c r="AG84" i="7"/>
  <c r="AG85" i="7"/>
  <c r="AG86" i="7"/>
  <c r="AG87" i="7"/>
  <c r="AG89" i="7"/>
  <c r="AG90" i="7"/>
  <c r="AG91" i="7"/>
  <c r="AG92" i="7"/>
  <c r="AG93" i="7"/>
  <c r="AG94" i="7"/>
  <c r="AG98" i="7"/>
  <c r="AG99" i="7"/>
  <c r="AG100" i="7"/>
  <c r="AG5" i="7"/>
  <c r="AD6" i="7"/>
  <c r="AD9" i="7"/>
  <c r="AD11" i="7"/>
  <c r="AD12" i="7"/>
  <c r="AD13" i="7"/>
  <c r="AD15" i="7"/>
  <c r="AD16" i="7"/>
  <c r="AD18" i="7"/>
  <c r="AD19" i="7"/>
  <c r="AD20" i="7"/>
  <c r="AD21" i="7"/>
  <c r="AD22" i="7"/>
  <c r="AD23" i="7"/>
  <c r="AD24" i="7"/>
  <c r="AD26" i="7"/>
  <c r="AD27" i="7"/>
  <c r="AD29" i="7"/>
  <c r="AD30" i="7"/>
  <c r="AD31" i="7"/>
  <c r="AD32" i="7"/>
  <c r="AD33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7" i="7"/>
  <c r="AD68" i="7"/>
  <c r="AD70" i="7"/>
  <c r="AD71" i="7"/>
  <c r="AD72" i="7"/>
  <c r="AD74" i="7"/>
  <c r="AD75" i="7"/>
  <c r="AD76" i="7"/>
  <c r="AD77" i="7"/>
  <c r="AD78" i="7"/>
  <c r="AD79" i="7"/>
  <c r="AD80" i="7"/>
  <c r="AD81" i="7"/>
  <c r="AD83" i="7"/>
  <c r="AD84" i="7"/>
  <c r="AD85" i="7"/>
  <c r="AD86" i="7"/>
  <c r="AD87" i="7"/>
  <c r="AD89" i="7"/>
  <c r="AD90" i="7"/>
  <c r="AD91" i="7"/>
  <c r="AD92" i="7"/>
  <c r="AD93" i="7"/>
  <c r="AD94" i="7"/>
  <c r="AD97" i="7"/>
  <c r="AD98" i="7"/>
  <c r="AD99" i="7"/>
  <c r="AD100" i="7"/>
  <c r="AD101" i="7"/>
  <c r="AD5" i="7"/>
  <c r="AA6" i="7"/>
  <c r="AA9" i="7"/>
  <c r="AA11" i="7"/>
  <c r="AA12" i="7"/>
  <c r="AA13" i="7"/>
  <c r="AA15" i="7"/>
  <c r="AA16" i="7"/>
  <c r="AA18" i="7"/>
  <c r="AA19" i="7"/>
  <c r="AA20" i="7"/>
  <c r="AA21" i="7"/>
  <c r="AA22" i="7"/>
  <c r="AA23" i="7"/>
  <c r="AA24" i="7"/>
  <c r="AA26" i="7"/>
  <c r="AA27" i="7"/>
  <c r="AA29" i="7"/>
  <c r="AA30" i="7"/>
  <c r="AA31" i="7"/>
  <c r="AA32" i="7"/>
  <c r="AA33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7" i="7"/>
  <c r="AA68" i="7"/>
  <c r="AA70" i="7"/>
  <c r="AA71" i="7"/>
  <c r="AA74" i="7"/>
  <c r="AA75" i="7"/>
  <c r="AA76" i="7"/>
  <c r="AA77" i="7"/>
  <c r="AA78" i="7"/>
  <c r="AA79" i="7"/>
  <c r="AA80" i="7"/>
  <c r="AA81" i="7"/>
  <c r="AA83" i="7"/>
  <c r="AA84" i="7"/>
  <c r="AA85" i="7"/>
  <c r="AA86" i="7"/>
  <c r="AA87" i="7"/>
  <c r="AA89" i="7"/>
  <c r="AA90" i="7"/>
  <c r="AA91" i="7"/>
  <c r="AA92" i="7"/>
  <c r="AA93" i="7"/>
  <c r="AA94" i="7"/>
  <c r="AA97" i="7"/>
  <c r="AA98" i="7"/>
  <c r="AA99" i="7"/>
  <c r="AA100" i="7"/>
  <c r="AA5" i="7"/>
  <c r="X6" i="7"/>
  <c r="X9" i="7"/>
  <c r="X11" i="7"/>
  <c r="X12" i="7"/>
  <c r="X13" i="7"/>
  <c r="X15" i="7"/>
  <c r="X16" i="7"/>
  <c r="X18" i="7"/>
  <c r="X19" i="7"/>
  <c r="X20" i="7"/>
  <c r="X21" i="7"/>
  <c r="X22" i="7"/>
  <c r="X23" i="7"/>
  <c r="X24" i="7"/>
  <c r="X26" i="7"/>
  <c r="X27" i="7"/>
  <c r="X29" i="7"/>
  <c r="X30" i="7"/>
  <c r="X31" i="7"/>
  <c r="X32" i="7"/>
  <c r="X33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7" i="7"/>
  <c r="X68" i="7"/>
  <c r="X70" i="7"/>
  <c r="X71" i="7"/>
  <c r="X74" i="7"/>
  <c r="X75" i="7"/>
  <c r="X76" i="7"/>
  <c r="X77" i="7"/>
  <c r="X78" i="7"/>
  <c r="X79" i="7"/>
  <c r="X80" i="7"/>
  <c r="X81" i="7"/>
  <c r="X83" i="7"/>
  <c r="X84" i="7"/>
  <c r="X85" i="7"/>
  <c r="X86" i="7"/>
  <c r="X87" i="7"/>
  <c r="X89" i="7"/>
  <c r="X90" i="7"/>
  <c r="X91" i="7"/>
  <c r="X92" i="7"/>
  <c r="X93" i="7"/>
  <c r="X94" i="7"/>
  <c r="X98" i="7"/>
  <c r="X99" i="7"/>
  <c r="X100" i="7"/>
  <c r="X5" i="7"/>
  <c r="O6" i="7"/>
  <c r="O9" i="7"/>
  <c r="O11" i="7"/>
  <c r="O12" i="7"/>
  <c r="O13" i="7"/>
  <c r="O15" i="7"/>
  <c r="O16" i="7"/>
  <c r="O18" i="7"/>
  <c r="O19" i="7"/>
  <c r="O20" i="7"/>
  <c r="O21" i="7"/>
  <c r="O22" i="7"/>
  <c r="O23" i="7"/>
  <c r="O24" i="7"/>
  <c r="O26" i="7"/>
  <c r="O27" i="7"/>
  <c r="O29" i="7"/>
  <c r="O30" i="7"/>
  <c r="O31" i="7"/>
  <c r="O32" i="7"/>
  <c r="O33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7" i="7"/>
  <c r="O68" i="7"/>
  <c r="O70" i="7"/>
  <c r="O71" i="7"/>
  <c r="O72" i="7"/>
  <c r="O74" i="7"/>
  <c r="O75" i="7"/>
  <c r="O76" i="7"/>
  <c r="O77" i="7"/>
  <c r="O78" i="7"/>
  <c r="O79" i="7"/>
  <c r="O80" i="7"/>
  <c r="O81" i="7"/>
  <c r="O83" i="7"/>
  <c r="O84" i="7"/>
  <c r="O85" i="7"/>
  <c r="O86" i="7"/>
  <c r="O87" i="7"/>
  <c r="O89" i="7"/>
  <c r="O90" i="7"/>
  <c r="O91" i="7"/>
  <c r="O92" i="7"/>
  <c r="O93" i="7"/>
  <c r="O94" i="7"/>
  <c r="O97" i="7"/>
  <c r="O98" i="7"/>
  <c r="O99" i="7"/>
  <c r="O100" i="7"/>
  <c r="O101" i="7"/>
  <c r="O5" i="7"/>
  <c r="L6" i="7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6" i="7"/>
  <c r="L27" i="7"/>
  <c r="L28" i="7"/>
  <c r="L29" i="7"/>
  <c r="L30" i="7"/>
  <c r="L31" i="7"/>
  <c r="L32" i="7"/>
  <c r="L33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7" i="7"/>
  <c r="L68" i="7"/>
  <c r="L70" i="7"/>
  <c r="L71" i="7"/>
  <c r="L72" i="7"/>
  <c r="L74" i="7"/>
  <c r="L75" i="7"/>
  <c r="L76" i="7"/>
  <c r="L77" i="7"/>
  <c r="L78" i="7"/>
  <c r="L79" i="7"/>
  <c r="L80" i="7"/>
  <c r="L81" i="7"/>
  <c r="L83" i="7"/>
  <c r="L84" i="7"/>
  <c r="L85" i="7"/>
  <c r="L86" i="7"/>
  <c r="L87" i="7"/>
  <c r="L89" i="7"/>
  <c r="L90" i="7"/>
  <c r="L91" i="7"/>
  <c r="L92" i="7"/>
  <c r="L93" i="7"/>
  <c r="L94" i="7"/>
  <c r="L97" i="7"/>
  <c r="L98" i="7"/>
  <c r="L99" i="7"/>
  <c r="L100" i="7"/>
  <c r="L101" i="7"/>
  <c r="L5" i="7"/>
  <c r="I6" i="7"/>
  <c r="I9" i="7"/>
  <c r="I11" i="7"/>
  <c r="I12" i="7"/>
  <c r="I13" i="7"/>
  <c r="I15" i="7"/>
  <c r="I16" i="7"/>
  <c r="I18" i="7"/>
  <c r="I19" i="7"/>
  <c r="I20" i="7"/>
  <c r="I21" i="7"/>
  <c r="I22" i="7"/>
  <c r="I23" i="7"/>
  <c r="I24" i="7"/>
  <c r="I26" i="7"/>
  <c r="I27" i="7"/>
  <c r="I29" i="7"/>
  <c r="I30" i="7"/>
  <c r="I31" i="7"/>
  <c r="I32" i="7"/>
  <c r="I33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7" i="7"/>
  <c r="I68" i="7"/>
  <c r="I70" i="7"/>
  <c r="I71" i="7"/>
  <c r="I74" i="7"/>
  <c r="I75" i="7"/>
  <c r="I76" i="7"/>
  <c r="I77" i="7"/>
  <c r="I78" i="7"/>
  <c r="I79" i="7"/>
  <c r="I80" i="7"/>
  <c r="I81" i="7"/>
  <c r="I83" i="7"/>
  <c r="I84" i="7"/>
  <c r="I85" i="7"/>
  <c r="I86" i="7"/>
  <c r="I87" i="7"/>
  <c r="I89" i="7"/>
  <c r="I90" i="7"/>
  <c r="I91" i="7"/>
  <c r="I92" i="7"/>
  <c r="I93" i="7"/>
  <c r="I97" i="7"/>
  <c r="I98" i="7"/>
  <c r="I99" i="7"/>
  <c r="I100" i="7"/>
  <c r="I101" i="7"/>
  <c r="I5" i="7"/>
  <c r="H5" i="40"/>
  <c r="H8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30" i="40"/>
  <c r="H31" i="40"/>
  <c r="H33" i="40"/>
  <c r="H34" i="40"/>
  <c r="H40" i="40"/>
  <c r="H41" i="40"/>
  <c r="H42" i="40"/>
  <c r="N42" i="40" s="1"/>
  <c r="H43" i="40"/>
  <c r="H44" i="40"/>
  <c r="H48" i="40"/>
  <c r="H49" i="40"/>
  <c r="H50" i="40"/>
  <c r="H51" i="40"/>
  <c r="H52" i="40"/>
  <c r="H4" i="40"/>
  <c r="D12" i="40"/>
  <c r="D53" i="40" s="1"/>
  <c r="W18" i="8" s="1"/>
  <c r="E12" i="37"/>
  <c r="E13" i="37"/>
  <c r="E14" i="37"/>
  <c r="E15" i="37"/>
  <c r="E16" i="37"/>
  <c r="E17" i="37"/>
  <c r="E11" i="37"/>
  <c r="E5" i="37"/>
  <c r="E6" i="37"/>
  <c r="E7" i="37" s="1"/>
  <c r="E4" i="37"/>
  <c r="O30" i="6"/>
  <c r="O31" i="6"/>
  <c r="O32" i="6"/>
  <c r="O33" i="6"/>
  <c r="O29" i="6"/>
  <c r="O27" i="6"/>
  <c r="O26" i="6"/>
  <c r="O19" i="6"/>
  <c r="O20" i="6"/>
  <c r="O21" i="6"/>
  <c r="F21" i="6" s="1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L42" i="6"/>
  <c r="L43" i="6"/>
  <c r="L44" i="6"/>
  <c r="L37" i="6"/>
  <c r="L30" i="6"/>
  <c r="L31" i="6"/>
  <c r="L32" i="6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I39" i="6"/>
  <c r="F39" i="6" s="1"/>
  <c r="I40" i="6"/>
  <c r="I41" i="6"/>
  <c r="I42" i="6"/>
  <c r="I43" i="6"/>
  <c r="F43" i="6" s="1"/>
  <c r="I44" i="6"/>
  <c r="I37" i="6"/>
  <c r="I30" i="6"/>
  <c r="I31" i="6"/>
  <c r="I32" i="6"/>
  <c r="I33" i="6"/>
  <c r="I29" i="6"/>
  <c r="I27" i="6"/>
  <c r="I26" i="6"/>
  <c r="I19" i="6"/>
  <c r="I20" i="6"/>
  <c r="I21" i="6"/>
  <c r="I22" i="6"/>
  <c r="I23" i="6"/>
  <c r="I24" i="6"/>
  <c r="I18" i="6"/>
  <c r="I16" i="6"/>
  <c r="I15" i="6"/>
  <c r="I12" i="6"/>
  <c r="I13" i="6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D40" i="6"/>
  <c r="E40" i="6"/>
  <c r="F40" i="6"/>
  <c r="D41" i="6"/>
  <c r="E41" i="6"/>
  <c r="D42" i="6"/>
  <c r="E42" i="6"/>
  <c r="D43" i="6"/>
  <c r="E43" i="6"/>
  <c r="D44" i="6"/>
  <c r="E44" i="6"/>
  <c r="F44" i="6"/>
  <c r="E37" i="6"/>
  <c r="F37" i="6"/>
  <c r="D30" i="6"/>
  <c r="E30" i="6"/>
  <c r="D31" i="6"/>
  <c r="E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D22" i="6"/>
  <c r="E22" i="6"/>
  <c r="D23" i="6"/>
  <c r="E23" i="6"/>
  <c r="D24" i="6"/>
  <c r="E24" i="6"/>
  <c r="E18" i="6"/>
  <c r="D16" i="6"/>
  <c r="E16" i="6"/>
  <c r="E15" i="6"/>
  <c r="D12" i="6"/>
  <c r="E12" i="6"/>
  <c r="D13" i="6"/>
  <c r="E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9" i="5"/>
  <c r="R60" i="5"/>
  <c r="R61" i="5"/>
  <c r="R62" i="5"/>
  <c r="R5" i="5"/>
  <c r="O6" i="5"/>
  <c r="O7" i="5"/>
  <c r="O9" i="5"/>
  <c r="O11" i="5"/>
  <c r="O12" i="5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F7" i="5" s="1"/>
  <c r="I9" i="5"/>
  <c r="F9" i="5" s="1"/>
  <c r="I11" i="5"/>
  <c r="I12" i="5"/>
  <c r="I13" i="5"/>
  <c r="F13" i="5" s="1"/>
  <c r="I15" i="5"/>
  <c r="F15" i="5" s="1"/>
  <c r="I16" i="5"/>
  <c r="I18" i="5"/>
  <c r="I19" i="5"/>
  <c r="F19" i="5" s="1"/>
  <c r="I20" i="5"/>
  <c r="F20" i="5" s="1"/>
  <c r="I21" i="5"/>
  <c r="I22" i="5"/>
  <c r="I23" i="5"/>
  <c r="I24" i="5"/>
  <c r="F24" i="5" s="1"/>
  <c r="I26" i="5"/>
  <c r="I27" i="5"/>
  <c r="I29" i="5"/>
  <c r="I30" i="5"/>
  <c r="F30" i="5" s="1"/>
  <c r="I31" i="5"/>
  <c r="I32" i="5"/>
  <c r="I33" i="5"/>
  <c r="I37" i="5"/>
  <c r="F37" i="5" s="1"/>
  <c r="I38" i="5"/>
  <c r="I39" i="5"/>
  <c r="I40" i="5"/>
  <c r="I41" i="5"/>
  <c r="F41" i="5" s="1"/>
  <c r="I42" i="5"/>
  <c r="I43" i="5"/>
  <c r="I44" i="5"/>
  <c r="I45" i="5"/>
  <c r="F45" i="5" s="1"/>
  <c r="I46" i="5"/>
  <c r="I47" i="5"/>
  <c r="I48" i="5"/>
  <c r="I49" i="5"/>
  <c r="F49" i="5" s="1"/>
  <c r="I50" i="5"/>
  <c r="I51" i="5"/>
  <c r="I54" i="5"/>
  <c r="F54" i="5" s="1"/>
  <c r="I55" i="5"/>
  <c r="F55" i="5" s="1"/>
  <c r="I56" i="5"/>
  <c r="I57" i="5"/>
  <c r="I59" i="5"/>
  <c r="I60" i="5"/>
  <c r="F60" i="5" s="1"/>
  <c r="I61" i="5"/>
  <c r="I62" i="5"/>
  <c r="I5" i="5"/>
  <c r="F5" i="5" s="1"/>
  <c r="T63" i="5"/>
  <c r="H58" i="5"/>
  <c r="K58" i="5"/>
  <c r="N58" i="5"/>
  <c r="O58" i="5" s="1"/>
  <c r="Q58" i="5"/>
  <c r="T58" i="5"/>
  <c r="E58" i="5" s="1"/>
  <c r="Y58" i="5"/>
  <c r="Z58" i="5"/>
  <c r="AA58" i="5" s="1"/>
  <c r="AC58" i="5"/>
  <c r="AF58" i="5"/>
  <c r="AG58" i="5" s="1"/>
  <c r="I58" i="5"/>
  <c r="T52" i="5"/>
  <c r="U52" i="5" s="1"/>
  <c r="T34" i="5"/>
  <c r="T28" i="5"/>
  <c r="T25" i="5"/>
  <c r="T17" i="5"/>
  <c r="U17" i="5" s="1"/>
  <c r="T14" i="5"/>
  <c r="AA6" i="41"/>
  <c r="AA9" i="41"/>
  <c r="AA11" i="41"/>
  <c r="AA12" i="41"/>
  <c r="AA13" i="41"/>
  <c r="AA14" i="41"/>
  <c r="AA15" i="41"/>
  <c r="AA16" i="41"/>
  <c r="AA17" i="41"/>
  <c r="AA18" i="41"/>
  <c r="AA19" i="41"/>
  <c r="AA20" i="41"/>
  <c r="AA21" i="41"/>
  <c r="AA22" i="41"/>
  <c r="AA23" i="41"/>
  <c r="F23" i="41" s="1"/>
  <c r="AA24" i="41"/>
  <c r="AA26" i="41"/>
  <c r="AA27" i="41"/>
  <c r="AA29" i="41"/>
  <c r="F29" i="41" s="1"/>
  <c r="AA30" i="41"/>
  <c r="AA31" i="41"/>
  <c r="AA32" i="41"/>
  <c r="AA33" i="41"/>
  <c r="AA38" i="41"/>
  <c r="AA39" i="41"/>
  <c r="AA40" i="41"/>
  <c r="AA41" i="41"/>
  <c r="AA42" i="41"/>
  <c r="AA43" i="41"/>
  <c r="AA44" i="41"/>
  <c r="AA46" i="41"/>
  <c r="AA47" i="41"/>
  <c r="AA48" i="41"/>
  <c r="AA49" i="41"/>
  <c r="AA50" i="41"/>
  <c r="AA51" i="41"/>
  <c r="AA52" i="41"/>
  <c r="AA55" i="41"/>
  <c r="AA56" i="41"/>
  <c r="F56" i="41" s="1"/>
  <c r="AA57" i="41"/>
  <c r="F57" i="41" s="1"/>
  <c r="AA58" i="41"/>
  <c r="AA59" i="41"/>
  <c r="AA61" i="41"/>
  <c r="AA62" i="41"/>
  <c r="AA63" i="41"/>
  <c r="AA64" i="41"/>
  <c r="AA68" i="41"/>
  <c r="AA5" i="41"/>
  <c r="D11" i="41"/>
  <c r="E11" i="41"/>
  <c r="D12" i="41"/>
  <c r="E12" i="41"/>
  <c r="D13" i="41"/>
  <c r="E13" i="41"/>
  <c r="K9" i="8"/>
  <c r="J10" i="8"/>
  <c r="K10" i="8"/>
  <c r="D38" i="41"/>
  <c r="E38" i="41"/>
  <c r="D39" i="41"/>
  <c r="E39" i="41"/>
  <c r="D40" i="41"/>
  <c r="E40" i="41"/>
  <c r="D41" i="41"/>
  <c r="E41" i="41"/>
  <c r="D42" i="41"/>
  <c r="E42" i="41"/>
  <c r="D43" i="41"/>
  <c r="E43" i="41"/>
  <c r="K23" i="8"/>
  <c r="D61" i="41"/>
  <c r="E61" i="41"/>
  <c r="D62" i="41"/>
  <c r="E62" i="41"/>
  <c r="D63" i="41"/>
  <c r="E63" i="41"/>
  <c r="D68" i="41"/>
  <c r="E68" i="41"/>
  <c r="R9" i="41"/>
  <c r="R11" i="41"/>
  <c r="R12" i="41"/>
  <c r="R13" i="41"/>
  <c r="R15" i="41"/>
  <c r="R16" i="41"/>
  <c r="R18" i="41"/>
  <c r="R19" i="41"/>
  <c r="R20" i="41"/>
  <c r="R21" i="41"/>
  <c r="F21" i="41" s="1"/>
  <c r="R22" i="41"/>
  <c r="R23" i="41"/>
  <c r="R24" i="41"/>
  <c r="F24" i="41" s="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F32" i="41" s="1"/>
  <c r="O33" i="41"/>
  <c r="O38" i="41"/>
  <c r="O39" i="41"/>
  <c r="O40" i="41"/>
  <c r="O41" i="41"/>
  <c r="O42" i="41"/>
  <c r="O43" i="41"/>
  <c r="O44" i="41"/>
  <c r="F44" i="41" s="1"/>
  <c r="O46" i="41"/>
  <c r="O47" i="41"/>
  <c r="O48" i="41"/>
  <c r="O49" i="41"/>
  <c r="F49" i="41" s="1"/>
  <c r="O50" i="41"/>
  <c r="F50" i="41" s="1"/>
  <c r="O51" i="41"/>
  <c r="F51" i="41" s="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F30" i="41" s="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Y63" i="5"/>
  <c r="Z63" i="5"/>
  <c r="AA63" i="5" s="1"/>
  <c r="AC63" i="5"/>
  <c r="Q63" i="5"/>
  <c r="Q52" i="5"/>
  <c r="Q34" i="5"/>
  <c r="Q28" i="5"/>
  <c r="Q25" i="5"/>
  <c r="Q17" i="5"/>
  <c r="Q14" i="5"/>
  <c r="E14" i="5" s="1"/>
  <c r="K7" i="6"/>
  <c r="W64" i="41"/>
  <c r="W34" i="41"/>
  <c r="W28" i="41"/>
  <c r="W25" i="41"/>
  <c r="X17" i="41"/>
  <c r="W7" i="41"/>
  <c r="X6" i="41"/>
  <c r="X9" i="41"/>
  <c r="X11" i="41"/>
  <c r="X12" i="41"/>
  <c r="X13" i="41"/>
  <c r="X18" i="41"/>
  <c r="X19" i="41"/>
  <c r="X20" i="41"/>
  <c r="X21" i="41"/>
  <c r="X22" i="41"/>
  <c r="X23" i="41"/>
  <c r="X24" i="41"/>
  <c r="X26" i="41"/>
  <c r="X27" i="41"/>
  <c r="X29" i="41"/>
  <c r="X30" i="41"/>
  <c r="X31" i="41"/>
  <c r="X32" i="41"/>
  <c r="X33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X62" i="41"/>
  <c r="X63" i="41"/>
  <c r="X68" i="41"/>
  <c r="X5" i="41"/>
  <c r="X7" i="41" s="1"/>
  <c r="D13" i="17" l="1"/>
  <c r="D6" i="18" s="1"/>
  <c r="F46" i="41"/>
  <c r="H53" i="40"/>
  <c r="D4" i="30"/>
  <c r="J4" i="30"/>
  <c r="F4" i="30"/>
  <c r="E4" i="30"/>
  <c r="G4" i="30"/>
  <c r="C4" i="30"/>
  <c r="M4" i="30"/>
  <c r="N4" i="30"/>
  <c r="K4" i="30"/>
  <c r="L4" i="30"/>
  <c r="H4" i="30"/>
  <c r="I4" i="30"/>
  <c r="N12" i="30"/>
  <c r="F12" i="30"/>
  <c r="E12" i="30"/>
  <c r="K12" i="30"/>
  <c r="I12" i="30"/>
  <c r="L12" i="30"/>
  <c r="G12" i="30"/>
  <c r="D12" i="30"/>
  <c r="J12" i="30"/>
  <c r="M12" i="30"/>
  <c r="H12" i="30"/>
  <c r="C12" i="30"/>
  <c r="F33" i="41"/>
  <c r="F58" i="41"/>
  <c r="F59" i="41"/>
  <c r="F55" i="41"/>
  <c r="F19" i="7"/>
  <c r="F13" i="6"/>
  <c r="F18" i="6"/>
  <c r="F31" i="6"/>
  <c r="F15" i="6"/>
  <c r="F23" i="6"/>
  <c r="F40" i="5"/>
  <c r="E28" i="5"/>
  <c r="F52" i="41"/>
  <c r="F48" i="41"/>
  <c r="F31" i="41"/>
  <c r="F27" i="41"/>
  <c r="F33" i="5"/>
  <c r="F29" i="5"/>
  <c r="F23" i="5"/>
  <c r="F48" i="5"/>
  <c r="F50" i="7"/>
  <c r="F42" i="7"/>
  <c r="F54" i="7"/>
  <c r="F46" i="7"/>
  <c r="F38" i="7"/>
  <c r="F29" i="7"/>
  <c r="F13" i="7"/>
  <c r="E18" i="37"/>
  <c r="F20" i="6"/>
  <c r="F30" i="6"/>
  <c r="F42" i="6"/>
  <c r="F38" i="6"/>
  <c r="F19" i="6"/>
  <c r="F41" i="6"/>
  <c r="F62" i="5"/>
  <c r="F57" i="5"/>
  <c r="F51" i="5"/>
  <c r="F47" i="5"/>
  <c r="F43" i="5"/>
  <c r="F32" i="5"/>
  <c r="F27" i="5"/>
  <c r="F22" i="5"/>
  <c r="F18" i="5"/>
  <c r="F12" i="5"/>
  <c r="F6" i="5"/>
  <c r="F61" i="5"/>
  <c r="F56" i="5"/>
  <c r="F50" i="5"/>
  <c r="F46" i="5"/>
  <c r="F42" i="5"/>
  <c r="F38" i="5"/>
  <c r="F31" i="5"/>
  <c r="F26" i="5"/>
  <c r="F21" i="5"/>
  <c r="F16" i="5"/>
  <c r="F11" i="5"/>
  <c r="R63" i="5"/>
  <c r="U63" i="5"/>
  <c r="F39" i="5"/>
  <c r="F62" i="41"/>
  <c r="F39" i="41"/>
  <c r="F43" i="41"/>
  <c r="F11" i="41"/>
  <c r="F42" i="41"/>
  <c r="F38" i="41"/>
  <c r="F63" i="41"/>
  <c r="F40" i="41"/>
  <c r="F12" i="41"/>
  <c r="F61" i="41"/>
  <c r="F41" i="41"/>
  <c r="F13" i="41"/>
  <c r="F78" i="7"/>
  <c r="F74" i="7"/>
  <c r="F90" i="7"/>
  <c r="F86" i="7"/>
  <c r="F5" i="7"/>
  <c r="AA3" i="8" s="1"/>
  <c r="F70" i="7"/>
  <c r="I17" i="18" s="1"/>
  <c r="F93" i="7"/>
  <c r="F33" i="7"/>
  <c r="F26" i="6"/>
  <c r="U58" i="5"/>
  <c r="F100" i="7"/>
  <c r="F24" i="6"/>
  <c r="F12" i="6"/>
  <c r="F11" i="6"/>
  <c r="R34" i="5"/>
  <c r="R14" i="5"/>
  <c r="U25" i="5"/>
  <c r="R25" i="5"/>
  <c r="U14" i="5"/>
  <c r="AD63" i="5"/>
  <c r="R58" i="5"/>
  <c r="L58" i="5"/>
  <c r="R17" i="5"/>
  <c r="R28" i="5"/>
  <c r="Q35" i="5"/>
  <c r="U28" i="5"/>
  <c r="T35" i="5"/>
  <c r="U34" i="5"/>
  <c r="AD58" i="5"/>
  <c r="R52" i="5"/>
  <c r="F58" i="7"/>
  <c r="F71" i="7"/>
  <c r="I18" i="18" s="1"/>
  <c r="F21" i="7"/>
  <c r="F32" i="6"/>
  <c r="F16" i="6"/>
  <c r="H7" i="18"/>
  <c r="E7" i="18"/>
  <c r="D23" i="9"/>
  <c r="D5" i="17"/>
  <c r="D7" i="17" s="1"/>
  <c r="D4" i="18" s="1"/>
  <c r="F89" i="7"/>
  <c r="F81" i="7"/>
  <c r="F77" i="7"/>
  <c r="F68" i="7"/>
  <c r="I15" i="18" s="1"/>
  <c r="F61" i="7"/>
  <c r="F53" i="7"/>
  <c r="F49" i="7"/>
  <c r="F41" i="7"/>
  <c r="F32" i="7"/>
  <c r="F20" i="7"/>
  <c r="F6" i="7"/>
  <c r="AA4" i="8" s="1"/>
  <c r="F98" i="7"/>
  <c r="F92" i="7"/>
  <c r="F84" i="7"/>
  <c r="F80" i="7"/>
  <c r="F76" i="7"/>
  <c r="F64" i="7"/>
  <c r="I11" i="18" s="1"/>
  <c r="F60" i="7"/>
  <c r="F56" i="7"/>
  <c r="F52" i="7"/>
  <c r="F48" i="7"/>
  <c r="F44" i="7"/>
  <c r="F40" i="7"/>
  <c r="F31" i="7"/>
  <c r="F27" i="7"/>
  <c r="F23" i="7"/>
  <c r="F15" i="7"/>
  <c r="F11" i="7"/>
  <c r="F63" i="7"/>
  <c r="F99" i="7"/>
  <c r="F85" i="7"/>
  <c r="F65" i="7"/>
  <c r="I12" i="18" s="1"/>
  <c r="F57" i="7"/>
  <c r="F45" i="7"/>
  <c r="F37" i="7"/>
  <c r="F24" i="7"/>
  <c r="F16" i="7"/>
  <c r="F12" i="7"/>
  <c r="F91" i="7"/>
  <c r="F87" i="7"/>
  <c r="F83" i="7"/>
  <c r="F79" i="7"/>
  <c r="F75" i="7"/>
  <c r="F67" i="7"/>
  <c r="I16" i="18" s="1"/>
  <c r="F59" i="7"/>
  <c r="F55" i="7"/>
  <c r="F51" i="7"/>
  <c r="F47" i="7"/>
  <c r="F43" i="7"/>
  <c r="F39" i="7"/>
  <c r="F30" i="7"/>
  <c r="F26" i="7"/>
  <c r="F22" i="7"/>
  <c r="F18" i="7"/>
  <c r="F9" i="7"/>
  <c r="AA7" i="8" s="1"/>
  <c r="D20" i="17"/>
  <c r="D8" i="17"/>
  <c r="D54" i="9"/>
  <c r="D5" i="18" s="1"/>
  <c r="F33" i="6"/>
  <c r="F29" i="6"/>
  <c r="F27" i="6"/>
  <c r="F22" i="6"/>
  <c r="X28" i="41"/>
  <c r="X25" i="41"/>
  <c r="X64" i="41"/>
  <c r="X34" i="41"/>
  <c r="X14" i="41"/>
  <c r="W35" i="41"/>
  <c r="W66" i="41" s="1"/>
  <c r="X53" i="41"/>
  <c r="O12" i="30" l="1"/>
  <c r="O4" i="30"/>
  <c r="Q65" i="5"/>
  <c r="R65" i="5" s="1"/>
  <c r="F58" i="5"/>
  <c r="D52" i="17"/>
  <c r="U35" i="5"/>
  <c r="T65" i="5"/>
  <c r="U65" i="5" s="1"/>
  <c r="R35" i="5"/>
  <c r="I7" i="18"/>
  <c r="D3" i="18"/>
  <c r="D19" i="18" s="1"/>
  <c r="D4" i="17"/>
  <c r="E62" i="7"/>
  <c r="Z19" i="8" s="1"/>
  <c r="E19" i="8" s="1"/>
  <c r="F62" i="7"/>
  <c r="AA19" i="8" s="1"/>
  <c r="F19" i="8" s="1"/>
  <c r="X35" i="41"/>
  <c r="X66" i="41" s="1"/>
  <c r="U95" i="7" l="1"/>
  <c r="E36" i="17"/>
  <c r="B31" i="30" s="1"/>
  <c r="I10" i="18"/>
  <c r="D36" i="17"/>
  <c r="H10" i="18"/>
  <c r="L6" i="6"/>
  <c r="L5" i="6"/>
  <c r="F5" i="1"/>
  <c r="F7" i="1" s="1"/>
  <c r="D26" i="9"/>
  <c r="D37" i="9" s="1"/>
  <c r="D76" i="9"/>
  <c r="D79" i="9" s="1"/>
  <c r="D80" i="9" s="1"/>
  <c r="H31" i="30" l="1"/>
  <c r="K31" i="30"/>
  <c r="L31" i="30"/>
  <c r="D31" i="30"/>
  <c r="E31" i="30"/>
  <c r="F31" i="30"/>
  <c r="I31" i="30"/>
  <c r="J31" i="30"/>
  <c r="C31" i="30"/>
  <c r="M31" i="30"/>
  <c r="N31" i="30"/>
  <c r="G31" i="30"/>
  <c r="R95" i="7"/>
  <c r="L7" i="6"/>
  <c r="D16" i="17"/>
  <c r="D73" i="9"/>
  <c r="Y52" i="5"/>
  <c r="Z52" i="5"/>
  <c r="AA52" i="5" s="1"/>
  <c r="N17" i="5"/>
  <c r="O17" i="5" s="1"/>
  <c r="Y17" i="5"/>
  <c r="Z17" i="5"/>
  <c r="AA17" i="5" s="1"/>
  <c r="AC17" i="5"/>
  <c r="N14" i="5"/>
  <c r="O14" i="5" s="1"/>
  <c r="Y14" i="5"/>
  <c r="Z14" i="5"/>
  <c r="AC14" i="5"/>
  <c r="Y34" i="5"/>
  <c r="Z34" i="5"/>
  <c r="AA34" i="5" s="1"/>
  <c r="Y28" i="5"/>
  <c r="Z28" i="5"/>
  <c r="AA28" i="5" s="1"/>
  <c r="Y25" i="5"/>
  <c r="Z25" i="5"/>
  <c r="E5" i="40"/>
  <c r="E13" i="40"/>
  <c r="E14" i="40"/>
  <c r="E15" i="40"/>
  <c r="E16" i="40"/>
  <c r="E17" i="40"/>
  <c r="E18" i="40"/>
  <c r="E19" i="40"/>
  <c r="E20" i="40"/>
  <c r="E21" i="40"/>
  <c r="E22" i="40"/>
  <c r="E4" i="40"/>
  <c r="O31" i="30" l="1"/>
  <c r="AD14" i="5"/>
  <c r="AD17" i="5"/>
  <c r="E12" i="40"/>
  <c r="E53" i="40" s="1"/>
  <c r="AA25" i="5"/>
  <c r="AA14" i="5"/>
  <c r="Y35" i="5"/>
  <c r="D15" i="17"/>
  <c r="D24" i="18"/>
  <c r="D23" i="18" s="1"/>
  <c r="D30" i="18" s="1"/>
  <c r="D31" i="18" s="1"/>
  <c r="Z35" i="5"/>
  <c r="X18" i="8" l="1"/>
  <c r="D19" i="17"/>
  <c r="D25" i="17"/>
  <c r="Y65" i="5"/>
  <c r="Z65" i="5"/>
  <c r="AA35" i="5"/>
  <c r="AA65" i="5" l="1"/>
  <c r="AJ11" i="57"/>
  <c r="W11" i="57"/>
  <c r="AH10" i="57"/>
  <c r="AG10" i="57"/>
  <c r="AG12" i="57" s="1"/>
  <c r="AE10" i="57"/>
  <c r="AE12" i="57" s="1"/>
  <c r="AD10" i="57"/>
  <c r="X10" i="57"/>
  <c r="V10" i="57"/>
  <c r="T10" i="57"/>
  <c r="O10" i="57"/>
  <c r="N10" i="57"/>
  <c r="M10" i="57"/>
  <c r="K10" i="57"/>
  <c r="F10" i="57"/>
  <c r="AJ9" i="57"/>
  <c r="AJ8" i="57"/>
  <c r="W8" i="57"/>
  <c r="AC10" i="57"/>
  <c r="AB10" i="57"/>
  <c r="J10" i="57"/>
  <c r="I10" i="57"/>
  <c r="H10" i="57"/>
  <c r="W6" i="57"/>
  <c r="AI10" i="57"/>
  <c r="AA10" i="57"/>
  <c r="Z10" i="57"/>
  <c r="G10" i="57"/>
  <c r="E10" i="57"/>
  <c r="D10" i="57"/>
  <c r="AI5" i="57"/>
  <c r="AH5" i="57"/>
  <c r="AF5" i="57"/>
  <c r="AF12" i="57" s="1"/>
  <c r="AD5" i="57"/>
  <c r="AD12" i="57" s="1"/>
  <c r="AC5" i="57"/>
  <c r="AB5" i="57"/>
  <c r="Y5" i="57"/>
  <c r="X5" i="57"/>
  <c r="V5" i="57"/>
  <c r="V12" i="57" s="1"/>
  <c r="U5" i="57"/>
  <c r="U12" i="57" s="1"/>
  <c r="R5" i="57"/>
  <c r="R12" i="57" s="1"/>
  <c r="Q5" i="57"/>
  <c r="Q12" i="57" s="1"/>
  <c r="P5" i="57"/>
  <c r="P12" i="57" s="1"/>
  <c r="N5" i="57"/>
  <c r="L5" i="57"/>
  <c r="L12" i="57" s="1"/>
  <c r="K5" i="57"/>
  <c r="J5" i="57"/>
  <c r="J12" i="57" s="1"/>
  <c r="H5" i="57"/>
  <c r="D5" i="57"/>
  <c r="F5" i="57"/>
  <c r="F12" i="57" s="1"/>
  <c r="AJ33" i="53"/>
  <c r="AJ32" i="53"/>
  <c r="X32" i="53"/>
  <c r="AJ31" i="53"/>
  <c r="X31" i="53"/>
  <c r="AJ30" i="53"/>
  <c r="X30" i="53"/>
  <c r="AJ29" i="53"/>
  <c r="X29" i="53"/>
  <c r="AJ28" i="53"/>
  <c r="AJ27" i="53"/>
  <c r="X27" i="53"/>
  <c r="AJ26" i="53"/>
  <c r="I5" i="57"/>
  <c r="AJ25" i="53"/>
  <c r="X25" i="53"/>
  <c r="AJ24" i="53"/>
  <c r="X24" i="53"/>
  <c r="AJ23" i="53"/>
  <c r="X23" i="53"/>
  <c r="AJ22" i="53"/>
  <c r="X22" i="53"/>
  <c r="AJ21" i="53"/>
  <c r="X21" i="53"/>
  <c r="AJ20" i="53"/>
  <c r="X20" i="53"/>
  <c r="AJ19" i="53"/>
  <c r="X19" i="53"/>
  <c r="AJ18" i="53"/>
  <c r="X18" i="53"/>
  <c r="AJ17" i="53"/>
  <c r="X17" i="53"/>
  <c r="AJ16" i="53"/>
  <c r="X16" i="53"/>
  <c r="AJ15" i="53"/>
  <c r="X15" i="53"/>
  <c r="AJ14" i="53"/>
  <c r="X14" i="53"/>
  <c r="AJ13" i="53"/>
  <c r="X13" i="53"/>
  <c r="T5" i="57"/>
  <c r="AJ12" i="53"/>
  <c r="X12" i="53"/>
  <c r="AJ11" i="53"/>
  <c r="X11" i="53"/>
  <c r="O5" i="57"/>
  <c r="O12" i="57" s="1"/>
  <c r="AJ10" i="53"/>
  <c r="M5" i="57"/>
  <c r="AJ9" i="53"/>
  <c r="X9" i="53"/>
  <c r="G5" i="57"/>
  <c r="AJ8" i="53"/>
  <c r="X8" i="53"/>
  <c r="AJ7" i="53"/>
  <c r="E5" i="57"/>
  <c r="AJ6" i="53"/>
  <c r="X6" i="53"/>
  <c r="AJ5" i="53"/>
  <c r="X5" i="53"/>
  <c r="AB12" i="57" l="1"/>
  <c r="AI12" i="57"/>
  <c r="N12" i="57"/>
  <c r="T12" i="57"/>
  <c r="K12" i="57"/>
  <c r="X12" i="57"/>
  <c r="AH12" i="57"/>
  <c r="AC12" i="57"/>
  <c r="AJ7" i="57"/>
  <c r="AJ10" i="57" s="1"/>
  <c r="I12" i="57"/>
  <c r="E12" i="57"/>
  <c r="G12" i="57"/>
  <c r="D12" i="57"/>
  <c r="H12" i="57"/>
  <c r="W7" i="57"/>
  <c r="C10" i="57"/>
  <c r="W10" i="57" s="1"/>
  <c r="Y10" i="57"/>
  <c r="Y12" i="57" s="1"/>
  <c r="X7" i="53"/>
  <c r="X10" i="53"/>
  <c r="X26" i="53"/>
  <c r="AJ76" i="53" l="1"/>
  <c r="AA5" i="57"/>
  <c r="X76" i="53"/>
  <c r="C5" i="57"/>
  <c r="W5" i="57" s="1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7" i="9"/>
  <c r="E48" i="9"/>
  <c r="E49" i="9"/>
  <c r="E51" i="9"/>
  <c r="E53" i="9"/>
  <c r="E12" i="17" s="1"/>
  <c r="B9" i="30" s="1"/>
  <c r="E55" i="9"/>
  <c r="E63" i="9"/>
  <c r="E65" i="9"/>
  <c r="E67" i="9"/>
  <c r="E71" i="9"/>
  <c r="E25" i="18" s="1"/>
  <c r="E72" i="9"/>
  <c r="E18" i="17" s="1"/>
  <c r="B16" i="30" s="1"/>
  <c r="E74" i="9"/>
  <c r="E75" i="9"/>
  <c r="E22" i="17"/>
  <c r="D9" i="30" l="1"/>
  <c r="K9" i="30"/>
  <c r="L9" i="30"/>
  <c r="H9" i="30"/>
  <c r="E9" i="30"/>
  <c r="C9" i="30"/>
  <c r="I9" i="30"/>
  <c r="F9" i="30"/>
  <c r="G9" i="30"/>
  <c r="M9" i="30"/>
  <c r="J9" i="30"/>
  <c r="N9" i="30"/>
  <c r="E66" i="9"/>
  <c r="E13" i="17" s="1"/>
  <c r="B11" i="30" s="1"/>
  <c r="E26" i="18"/>
  <c r="E17" i="17"/>
  <c r="B15" i="30" s="1"/>
  <c r="E29" i="18"/>
  <c r="E27" i="18" s="1"/>
  <c r="E21" i="17"/>
  <c r="B18" i="30" s="1"/>
  <c r="B22" i="30" s="1"/>
  <c r="AA12" i="57"/>
  <c r="AJ12" i="57" s="1"/>
  <c r="AJ5" i="57"/>
  <c r="C12" i="57"/>
  <c r="W12" i="57" s="1"/>
  <c r="E12" i="9"/>
  <c r="E6" i="17" s="1"/>
  <c r="B5" i="30" s="1"/>
  <c r="L5" i="30" l="1"/>
  <c r="L6" i="30" s="1"/>
  <c r="D5" i="30"/>
  <c r="D6" i="30" s="1"/>
  <c r="B6" i="30"/>
  <c r="H5" i="30"/>
  <c r="H6" i="30" s="1"/>
  <c r="K5" i="30"/>
  <c r="K6" i="30" s="1"/>
  <c r="I5" i="30"/>
  <c r="I6" i="30" s="1"/>
  <c r="J5" i="30"/>
  <c r="J6" i="30" s="1"/>
  <c r="G5" i="30"/>
  <c r="G6" i="30" s="1"/>
  <c r="F5" i="30"/>
  <c r="F6" i="30" s="1"/>
  <c r="C5" i="30"/>
  <c r="M5" i="30"/>
  <c r="M6" i="30" s="1"/>
  <c r="N5" i="30"/>
  <c r="N6" i="30" s="1"/>
  <c r="E5" i="30"/>
  <c r="E6" i="30" s="1"/>
  <c r="D11" i="30"/>
  <c r="K11" i="30"/>
  <c r="L11" i="30"/>
  <c r="H11" i="30"/>
  <c r="M11" i="30"/>
  <c r="F11" i="30"/>
  <c r="C11" i="30"/>
  <c r="G11" i="30"/>
  <c r="J11" i="30"/>
  <c r="E11" i="30"/>
  <c r="N11" i="30"/>
  <c r="I11" i="30"/>
  <c r="O9" i="30"/>
  <c r="E6" i="18"/>
  <c r="E20" i="17"/>
  <c r="E52" i="17" s="1"/>
  <c r="E7" i="17"/>
  <c r="E4" i="18" s="1"/>
  <c r="E23" i="9"/>
  <c r="R68" i="41"/>
  <c r="F68" i="41" s="1"/>
  <c r="C6" i="30" l="1"/>
  <c r="O5" i="30"/>
  <c r="O6" i="30" s="1"/>
  <c r="O11" i="30"/>
  <c r="I47" i="41"/>
  <c r="F47" i="41" s="1"/>
  <c r="L55" i="41" l="1"/>
  <c r="L20" i="40" l="1"/>
  <c r="L19" i="40"/>
  <c r="M43" i="40"/>
  <c r="N43" i="40"/>
  <c r="M44" i="40"/>
  <c r="N44" i="40"/>
  <c r="M48" i="40"/>
  <c r="N48" i="40"/>
  <c r="M49" i="40"/>
  <c r="N49" i="40"/>
  <c r="M50" i="40"/>
  <c r="N50" i="40"/>
  <c r="M51" i="40"/>
  <c r="N51" i="40"/>
  <c r="M52" i="40"/>
  <c r="N52" i="40"/>
  <c r="L43" i="40"/>
  <c r="L44" i="40"/>
  <c r="L48" i="40"/>
  <c r="L49" i="40"/>
  <c r="L51" i="40"/>
  <c r="L52" i="40"/>
  <c r="L50" i="40"/>
  <c r="L42" i="40"/>
  <c r="E26" i="9" l="1"/>
  <c r="E37" i="9" s="1"/>
  <c r="E16" i="17" l="1"/>
  <c r="B14" i="30" s="1"/>
  <c r="B17" i="30" s="1"/>
  <c r="E15" i="17" l="1"/>
  <c r="E24" i="18"/>
  <c r="E23" i="18" s="1"/>
  <c r="E30" i="18" s="1"/>
  <c r="K29" i="8"/>
  <c r="L29" i="8"/>
  <c r="J29" i="8"/>
  <c r="Y17" i="7" l="1"/>
  <c r="Z17" i="7"/>
  <c r="AC17" i="7"/>
  <c r="Y14" i="7"/>
  <c r="Z14" i="7"/>
  <c r="AC14" i="7"/>
  <c r="AC34" i="7"/>
  <c r="AC28" i="7"/>
  <c r="AC25" i="7"/>
  <c r="Y35" i="7" l="1"/>
  <c r="AD14" i="7"/>
  <c r="AA14" i="7"/>
  <c r="AD17" i="7"/>
  <c r="AA17" i="7"/>
  <c r="AD34" i="7"/>
  <c r="AD28" i="7"/>
  <c r="AD25" i="7"/>
  <c r="AC35" i="7"/>
  <c r="AC95" i="7" s="1"/>
  <c r="AB95" i="7"/>
  <c r="AD95" i="7" l="1"/>
  <c r="AD35" i="7"/>
  <c r="N63" i="5"/>
  <c r="N52" i="5"/>
  <c r="N25" i="5"/>
  <c r="N28" i="5"/>
  <c r="N34" i="5"/>
  <c r="O52" i="5" l="1"/>
  <c r="O28" i="5"/>
  <c r="O34" i="5"/>
  <c r="O25" i="5"/>
  <c r="O63" i="5"/>
  <c r="N35" i="5"/>
  <c r="N65" i="5" s="1"/>
  <c r="O65" i="5" l="1"/>
  <c r="O35" i="5"/>
  <c r="G7" i="18" l="1"/>
  <c r="Z64" i="41"/>
  <c r="Y64" i="41"/>
  <c r="Z53" i="41"/>
  <c r="AA53" i="41" s="1"/>
  <c r="Z34" i="41"/>
  <c r="AA34" i="41" s="1"/>
  <c r="Z28" i="41"/>
  <c r="AA28" i="41" s="1"/>
  <c r="Z25" i="41"/>
  <c r="AA25" i="41"/>
  <c r="Z17" i="41"/>
  <c r="Z14" i="41"/>
  <c r="Z7" i="41"/>
  <c r="AA7" i="41" l="1"/>
  <c r="Z35" i="41"/>
  <c r="Z66" i="41" s="1"/>
  <c r="Y66" i="41" l="1"/>
  <c r="D66" i="41" s="1"/>
  <c r="AA35" i="41"/>
  <c r="M5" i="40"/>
  <c r="N5" i="40"/>
  <c r="L5" i="40"/>
  <c r="AA66" i="41" l="1"/>
  <c r="K7" i="8"/>
  <c r="L7" i="8"/>
  <c r="K3" i="8"/>
  <c r="L3" i="8"/>
  <c r="K4" i="8"/>
  <c r="L4" i="8"/>
  <c r="J7" i="8"/>
  <c r="J4" i="8"/>
  <c r="J3" i="8"/>
  <c r="J68" i="52" l="1"/>
  <c r="H68" i="52"/>
  <c r="H3" i="52"/>
  <c r="J23" i="8" l="1"/>
  <c r="L59" i="41"/>
  <c r="L23" i="8" l="1"/>
  <c r="H7" i="41"/>
  <c r="K7" i="41"/>
  <c r="N7" i="41"/>
  <c r="L7" i="41" l="1"/>
  <c r="O7" i="41"/>
  <c r="I7" i="41"/>
  <c r="J5" i="8"/>
  <c r="C26" i="18" l="1"/>
  <c r="J14" i="29" l="1"/>
  <c r="E14" i="29"/>
  <c r="F14" i="29"/>
  <c r="G14" i="29"/>
  <c r="H14" i="29"/>
  <c r="I14" i="29"/>
  <c r="D14" i="29"/>
  <c r="L8" i="40" l="1"/>
  <c r="M8" i="40"/>
  <c r="N8" i="40"/>
  <c r="M12" i="40"/>
  <c r="N12" i="40"/>
  <c r="L13" i="40"/>
  <c r="M13" i="40"/>
  <c r="N13" i="40"/>
  <c r="L14" i="40"/>
  <c r="M14" i="40"/>
  <c r="N14" i="40"/>
  <c r="L15" i="40"/>
  <c r="M15" i="40"/>
  <c r="N15" i="40"/>
  <c r="L16" i="40"/>
  <c r="M16" i="40"/>
  <c r="N16" i="40"/>
  <c r="L17" i="40"/>
  <c r="M17" i="40"/>
  <c r="N17" i="40"/>
  <c r="L18" i="40"/>
  <c r="M18" i="40"/>
  <c r="N18" i="40"/>
  <c r="L21" i="40"/>
  <c r="M21" i="40"/>
  <c r="N21" i="40"/>
  <c r="M22" i="40"/>
  <c r="N22" i="40"/>
  <c r="L23" i="40"/>
  <c r="M23" i="40"/>
  <c r="N23" i="40"/>
  <c r="L24" i="40"/>
  <c r="M24" i="40"/>
  <c r="N24" i="40"/>
  <c r="M30" i="40"/>
  <c r="N30" i="40"/>
  <c r="L33" i="40"/>
  <c r="M33" i="40"/>
  <c r="N33" i="40"/>
  <c r="L34" i="40"/>
  <c r="M34" i="40"/>
  <c r="N34" i="40"/>
  <c r="L31" i="40"/>
  <c r="M31" i="40"/>
  <c r="N31" i="40"/>
  <c r="L40" i="40"/>
  <c r="M40" i="40"/>
  <c r="N40" i="40"/>
  <c r="L41" i="40"/>
  <c r="M41" i="40"/>
  <c r="N41" i="40"/>
  <c r="M4" i="40"/>
  <c r="N4" i="40"/>
  <c r="X25" i="8" l="1"/>
  <c r="N53" i="40"/>
  <c r="W25" i="8"/>
  <c r="M53" i="40"/>
  <c r="L22" i="40"/>
  <c r="L12" i="40" l="1"/>
  <c r="Y72" i="7" l="1"/>
  <c r="Z72" i="7"/>
  <c r="Y101" i="7"/>
  <c r="Z101" i="7"/>
  <c r="AA101" i="7" s="1"/>
  <c r="AA72" i="7" l="1"/>
  <c r="Z34" i="7"/>
  <c r="Z28" i="7"/>
  <c r="Z25" i="7"/>
  <c r="AA28" i="7" l="1"/>
  <c r="AA34" i="7"/>
  <c r="AA25" i="7"/>
  <c r="Z35" i="7"/>
  <c r="Z95" i="7" s="1"/>
  <c r="Y95" i="7"/>
  <c r="V7" i="7"/>
  <c r="AA35" i="7" l="1"/>
  <c r="D7" i="7"/>
  <c r="Y5" i="8" s="1"/>
  <c r="X7" i="7"/>
  <c r="F7" i="7" s="1"/>
  <c r="C6" i="17"/>
  <c r="H25" i="7"/>
  <c r="K25" i="7"/>
  <c r="H34" i="7"/>
  <c r="K34" i="7"/>
  <c r="L34" i="7" l="1"/>
  <c r="L25" i="7"/>
  <c r="AA95" i="7"/>
  <c r="K35" i="7"/>
  <c r="K95" i="7" s="1"/>
  <c r="C28" i="18"/>
  <c r="C21" i="17"/>
  <c r="L35" i="7" l="1"/>
  <c r="C29" i="18"/>
  <c r="L95" i="7" l="1"/>
  <c r="L53" i="40"/>
  <c r="L30" i="40"/>
  <c r="C27" i="18"/>
  <c r="E76" i="9" l="1"/>
  <c r="H7" i="6" l="1"/>
  <c r="I7" i="6"/>
  <c r="C25" i="18" l="1"/>
  <c r="C53" i="43" l="1"/>
  <c r="D53" i="43"/>
  <c r="B53" i="43"/>
  <c r="C29" i="43"/>
  <c r="D29" i="43"/>
  <c r="B29" i="43"/>
  <c r="C14" i="17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Q34" i="41"/>
  <c r="N34" i="41"/>
  <c r="K34" i="41"/>
  <c r="H34" i="41"/>
  <c r="Q28" i="41"/>
  <c r="N28" i="41"/>
  <c r="K28" i="41"/>
  <c r="H28" i="41"/>
  <c r="Q25" i="41"/>
  <c r="E25" i="41" s="1"/>
  <c r="N25" i="41"/>
  <c r="K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E34" i="41" l="1"/>
  <c r="K13" i="8" s="1"/>
  <c r="E53" i="41"/>
  <c r="K21" i="8" s="1"/>
  <c r="F3" i="8"/>
  <c r="I8" i="18"/>
  <c r="E34" i="17"/>
  <c r="H8" i="18"/>
  <c r="D34" i="17"/>
  <c r="E7" i="8"/>
  <c r="F7" i="8"/>
  <c r="E39" i="17"/>
  <c r="B34" i="30" s="1"/>
  <c r="I25" i="18"/>
  <c r="H25" i="18"/>
  <c r="D39" i="17"/>
  <c r="E4" i="8"/>
  <c r="J12" i="8"/>
  <c r="K12" i="8"/>
  <c r="J13" i="8"/>
  <c r="K11" i="8"/>
  <c r="J11" i="8"/>
  <c r="L14" i="41"/>
  <c r="R14" i="41"/>
  <c r="L17" i="41"/>
  <c r="R17" i="41"/>
  <c r="L25" i="41"/>
  <c r="R25" i="41"/>
  <c r="F25" i="41" s="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X27" i="8"/>
  <c r="X30" i="8" s="1"/>
  <c r="W27" i="8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27" i="8"/>
  <c r="V30" i="8" s="1"/>
  <c r="H5" i="8"/>
  <c r="E7" i="6"/>
  <c r="F7" i="6"/>
  <c r="D7" i="6"/>
  <c r="R4" i="8"/>
  <c r="R5" i="8" s="1"/>
  <c r="Q5" i="8"/>
  <c r="O5" i="8"/>
  <c r="N5" i="8"/>
  <c r="H72" i="7"/>
  <c r="N34" i="7"/>
  <c r="O34" i="7" s="1"/>
  <c r="N28" i="7"/>
  <c r="H28" i="7"/>
  <c r="N25" i="7"/>
  <c r="N17" i="7"/>
  <c r="H17" i="7"/>
  <c r="N14" i="7"/>
  <c r="H14" i="7"/>
  <c r="E35" i="41" l="1"/>
  <c r="K14" i="8" s="1"/>
  <c r="F53" i="41"/>
  <c r="L21" i="8" s="1"/>
  <c r="F34" i="41"/>
  <c r="L13" i="8" s="1"/>
  <c r="F28" i="41"/>
  <c r="L12" i="8" s="1"/>
  <c r="O28" i="7"/>
  <c r="I28" i="7"/>
  <c r="F4" i="8"/>
  <c r="L11" i="8"/>
  <c r="L9" i="8"/>
  <c r="L10" i="8"/>
  <c r="I72" i="7"/>
  <c r="O14" i="7"/>
  <c r="O17" i="7"/>
  <c r="I34" i="7"/>
  <c r="F5" i="8"/>
  <c r="O25" i="7"/>
  <c r="I25" i="7"/>
  <c r="I17" i="7"/>
  <c r="I14" i="7"/>
  <c r="H27" i="8"/>
  <c r="H30" i="8" s="1"/>
  <c r="E5" i="8"/>
  <c r="I27" i="8"/>
  <c r="I30" i="8" s="1"/>
  <c r="R35" i="41"/>
  <c r="N66" i="41"/>
  <c r="O35" i="41"/>
  <c r="H66" i="41"/>
  <c r="I35" i="41"/>
  <c r="K66" i="41"/>
  <c r="L66" i="41" s="1"/>
  <c r="L35" i="41"/>
  <c r="Q66" i="41"/>
  <c r="J21" i="8"/>
  <c r="H35" i="7"/>
  <c r="H95" i="7" s="1"/>
  <c r="N35" i="7"/>
  <c r="N95" i="7" s="1"/>
  <c r="M95" i="7"/>
  <c r="O66" i="41" l="1"/>
  <c r="E66" i="41"/>
  <c r="F35" i="41"/>
  <c r="L14" i="8" s="1"/>
  <c r="L27" i="8" s="1"/>
  <c r="L30" i="8" s="1"/>
  <c r="I95" i="7"/>
  <c r="O35" i="7"/>
  <c r="I35" i="7"/>
  <c r="K27" i="8"/>
  <c r="K30" i="8" s="1"/>
  <c r="R66" i="41"/>
  <c r="I66" i="4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AE14" i="7"/>
  <c r="AF14" i="7"/>
  <c r="AE17" i="7"/>
  <c r="AF17" i="7"/>
  <c r="AE25" i="7"/>
  <c r="AF25" i="7"/>
  <c r="AE28" i="7"/>
  <c r="AF28" i="7"/>
  <c r="AE34" i="7"/>
  <c r="AF34" i="7"/>
  <c r="C13" i="17"/>
  <c r="C6" i="18" s="1"/>
  <c r="E52" i="9"/>
  <c r="E11" i="17" s="1"/>
  <c r="B8" i="30" s="1"/>
  <c r="E79" i="9"/>
  <c r="E80" i="9" s="1"/>
  <c r="H63" i="5"/>
  <c r="K63" i="5"/>
  <c r="AF63" i="5"/>
  <c r="AG63" i="5" s="1"/>
  <c r="G4" i="8"/>
  <c r="C17" i="17"/>
  <c r="C12" i="17"/>
  <c r="E43" i="9"/>
  <c r="C9" i="17"/>
  <c r="C7" i="18"/>
  <c r="C16" i="17"/>
  <c r="E32" i="17"/>
  <c r="B27" i="30" s="1"/>
  <c r="D32" i="17"/>
  <c r="H5" i="18" s="1"/>
  <c r="AF52" i="5"/>
  <c r="AF14" i="5"/>
  <c r="AF17" i="5"/>
  <c r="AF25" i="5"/>
  <c r="AF28" i="5"/>
  <c r="AF34" i="5"/>
  <c r="H28" i="5"/>
  <c r="K28" i="5"/>
  <c r="AC28" i="5"/>
  <c r="AD28" i="5" s="1"/>
  <c r="H34" i="5"/>
  <c r="K34" i="5"/>
  <c r="AC34" i="5"/>
  <c r="H52" i="5"/>
  <c r="K52" i="5"/>
  <c r="AC52" i="5"/>
  <c r="AC25" i="5"/>
  <c r="K25" i="5"/>
  <c r="L25" i="5" s="1"/>
  <c r="H25" i="5"/>
  <c r="K17" i="5"/>
  <c r="H17" i="5"/>
  <c r="K14" i="5"/>
  <c r="H14" i="5"/>
  <c r="V34" i="7"/>
  <c r="W34" i="7"/>
  <c r="V28" i="7"/>
  <c r="W28" i="7"/>
  <c r="V25" i="7"/>
  <c r="W25" i="7"/>
  <c r="V17" i="7"/>
  <c r="W17" i="7"/>
  <c r="V14" i="7"/>
  <c r="W14" i="7"/>
  <c r="V72" i="7"/>
  <c r="W72" i="7"/>
  <c r="H28" i="6"/>
  <c r="I28" i="6"/>
  <c r="K28" i="6"/>
  <c r="L28" i="6"/>
  <c r="N28" i="6"/>
  <c r="O28" i="6"/>
  <c r="P28" i="6"/>
  <c r="Q28" i="6"/>
  <c r="R28" i="6"/>
  <c r="S28" i="6"/>
  <c r="T28" i="6"/>
  <c r="U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K45" i="6"/>
  <c r="L45" i="6"/>
  <c r="N45" i="6"/>
  <c r="O45" i="6"/>
  <c r="P45" i="6"/>
  <c r="Q45" i="6"/>
  <c r="R45" i="6"/>
  <c r="S45" i="6"/>
  <c r="T45" i="6"/>
  <c r="U45" i="6"/>
  <c r="H34" i="6"/>
  <c r="I34" i="6"/>
  <c r="K34" i="6"/>
  <c r="L34" i="6"/>
  <c r="N34" i="6"/>
  <c r="O34" i="6"/>
  <c r="P34" i="6"/>
  <c r="Q34" i="6"/>
  <c r="R34" i="6"/>
  <c r="S34" i="6"/>
  <c r="T34" i="6"/>
  <c r="U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L25" i="6"/>
  <c r="K25" i="6"/>
  <c r="I25" i="6"/>
  <c r="H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L17" i="6"/>
  <c r="K17" i="6"/>
  <c r="I17" i="6"/>
  <c r="H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L14" i="6"/>
  <c r="K14" i="6"/>
  <c r="I14" i="6"/>
  <c r="H14" i="6"/>
  <c r="E65" i="1"/>
  <c r="F65" i="1"/>
  <c r="G13" i="8"/>
  <c r="G12" i="8"/>
  <c r="G11" i="8"/>
  <c r="G10" i="8"/>
  <c r="F8" i="30" l="1"/>
  <c r="N8" i="30"/>
  <c r="E8" i="30"/>
  <c r="K8" i="30"/>
  <c r="L8" i="30"/>
  <c r="G8" i="30"/>
  <c r="J8" i="30"/>
  <c r="M8" i="30"/>
  <c r="H8" i="30"/>
  <c r="C8" i="30"/>
  <c r="I8" i="30"/>
  <c r="D8" i="30"/>
  <c r="E34" i="5"/>
  <c r="E52" i="5"/>
  <c r="D27" i="30"/>
  <c r="K27" i="30"/>
  <c r="L27" i="30"/>
  <c r="H27" i="30"/>
  <c r="M27" i="30"/>
  <c r="J27" i="30"/>
  <c r="G27" i="30"/>
  <c r="E27" i="30"/>
  <c r="F27" i="30"/>
  <c r="C27" i="30"/>
  <c r="N27" i="30"/>
  <c r="I27" i="30"/>
  <c r="F66" i="41"/>
  <c r="AD25" i="5"/>
  <c r="E25" i="5"/>
  <c r="E63" i="5"/>
  <c r="N25" i="8" s="1"/>
  <c r="E25" i="8" s="1"/>
  <c r="D63" i="5"/>
  <c r="M25" i="8" s="1"/>
  <c r="D25" i="8" s="1"/>
  <c r="C40" i="17" s="1"/>
  <c r="D72" i="7"/>
  <c r="X25" i="7"/>
  <c r="X34" i="7"/>
  <c r="X72" i="7"/>
  <c r="F72" i="7" s="1"/>
  <c r="AA18" i="8" s="1"/>
  <c r="F18" i="8" s="1"/>
  <c r="E35" i="17" s="1"/>
  <c r="B30" i="30" s="1"/>
  <c r="E72" i="7"/>
  <c r="Z18" i="8" s="1"/>
  <c r="E18" i="8" s="1"/>
  <c r="D35" i="17" s="1"/>
  <c r="H9" i="18" s="1"/>
  <c r="X14" i="7"/>
  <c r="E14" i="7"/>
  <c r="Z9" i="8" s="1"/>
  <c r="X17" i="7"/>
  <c r="E17" i="7"/>
  <c r="Z10" i="8" s="1"/>
  <c r="X28" i="7"/>
  <c r="E28" i="7"/>
  <c r="V101" i="7"/>
  <c r="D101" i="7" s="1"/>
  <c r="D97" i="7"/>
  <c r="C42" i="17" s="1"/>
  <c r="D14" i="7"/>
  <c r="Y9" i="8" s="1"/>
  <c r="D17" i="7"/>
  <c r="Y10" i="8" s="1"/>
  <c r="D25" i="7"/>
  <c r="Y11" i="8" s="1"/>
  <c r="D28" i="7"/>
  <c r="Y12" i="8" s="1"/>
  <c r="D34" i="7"/>
  <c r="W101" i="7"/>
  <c r="E97" i="7"/>
  <c r="D42" i="17" s="1"/>
  <c r="AG101" i="7"/>
  <c r="AA29" i="8" s="1"/>
  <c r="F29" i="8" s="1"/>
  <c r="AG28" i="7"/>
  <c r="AG17" i="7"/>
  <c r="AG14" i="7"/>
  <c r="E28" i="6"/>
  <c r="Q12" i="8" s="1"/>
  <c r="L52" i="5"/>
  <c r="L14" i="5"/>
  <c r="L17" i="5"/>
  <c r="AG28" i="5"/>
  <c r="AG17" i="5"/>
  <c r="AG52" i="5"/>
  <c r="I14" i="5"/>
  <c r="F14" i="5" s="1"/>
  <c r="I17" i="5"/>
  <c r="AD34" i="5"/>
  <c r="I63" i="5"/>
  <c r="L28" i="5"/>
  <c r="AG25" i="5"/>
  <c r="AG14" i="5"/>
  <c r="L63" i="5"/>
  <c r="I5" i="18"/>
  <c r="AG34" i="7"/>
  <c r="E34" i="7"/>
  <c r="Z13" i="8" s="1"/>
  <c r="AG25" i="7"/>
  <c r="E25" i="7"/>
  <c r="Z11" i="8" s="1"/>
  <c r="O95" i="7"/>
  <c r="E34" i="6"/>
  <c r="Q13" i="8" s="1"/>
  <c r="AD52" i="5"/>
  <c r="N21" i="8"/>
  <c r="AG34" i="5"/>
  <c r="M13" i="8"/>
  <c r="L34" i="5"/>
  <c r="I34" i="5"/>
  <c r="N13" i="8"/>
  <c r="I28" i="5"/>
  <c r="N12" i="8"/>
  <c r="I25" i="5"/>
  <c r="F25" i="5" s="1"/>
  <c r="N11" i="8"/>
  <c r="E10" i="17"/>
  <c r="B7" i="30" s="1"/>
  <c r="E54" i="9"/>
  <c r="F34" i="6"/>
  <c r="R13" i="8" s="1"/>
  <c r="F28" i="6"/>
  <c r="R12" i="8" s="1"/>
  <c r="N9" i="8"/>
  <c r="N10" i="8"/>
  <c r="Z12" i="8"/>
  <c r="J9" i="29"/>
  <c r="J17" i="29" s="1"/>
  <c r="J27" i="8"/>
  <c r="J30" i="8" s="1"/>
  <c r="H17" i="29"/>
  <c r="D17" i="29"/>
  <c r="G17" i="29"/>
  <c r="I17" i="29"/>
  <c r="C11" i="17"/>
  <c r="C10" i="17"/>
  <c r="C5" i="17"/>
  <c r="C24" i="18"/>
  <c r="C23" i="18" s="1"/>
  <c r="G5" i="8"/>
  <c r="C18" i="17"/>
  <c r="G14" i="8"/>
  <c r="W35" i="7"/>
  <c r="W95" i="7" s="1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R35" i="6"/>
  <c r="H35" i="5"/>
  <c r="M7" i="8"/>
  <c r="C39" i="17"/>
  <c r="M3" i="8"/>
  <c r="K35" i="6"/>
  <c r="K58" i="6" s="1"/>
  <c r="S35" i="6"/>
  <c r="S58" i="6" s="1"/>
  <c r="P4" i="8"/>
  <c r="AF35" i="7"/>
  <c r="AF95" i="7" s="1"/>
  <c r="AE35" i="7"/>
  <c r="AE95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D25" i="6"/>
  <c r="D28" i="6"/>
  <c r="P12" i="8" s="1"/>
  <c r="M9" i="8"/>
  <c r="M11" i="8"/>
  <c r="AF35" i="5"/>
  <c r="V35" i="7"/>
  <c r="V95" i="7" s="1"/>
  <c r="AC35" i="5"/>
  <c r="O8" i="30" l="1"/>
  <c r="H7" i="30"/>
  <c r="H10" i="30" s="1"/>
  <c r="H13" i="30" s="1"/>
  <c r="H23" i="30" s="1"/>
  <c r="L7" i="30"/>
  <c r="L10" i="30" s="1"/>
  <c r="L13" i="30" s="1"/>
  <c r="L23" i="30" s="1"/>
  <c r="D7" i="30"/>
  <c r="D10" i="30" s="1"/>
  <c r="D13" i="30" s="1"/>
  <c r="D23" i="30" s="1"/>
  <c r="K7" i="30"/>
  <c r="K10" i="30" s="1"/>
  <c r="K13" i="30" s="1"/>
  <c r="K23" i="30" s="1"/>
  <c r="I7" i="30"/>
  <c r="I10" i="30" s="1"/>
  <c r="I13" i="30" s="1"/>
  <c r="I23" i="30" s="1"/>
  <c r="G7" i="30"/>
  <c r="G10" i="30" s="1"/>
  <c r="G13" i="30" s="1"/>
  <c r="G23" i="30" s="1"/>
  <c r="F7" i="30"/>
  <c r="F10" i="30" s="1"/>
  <c r="F13" i="30" s="1"/>
  <c r="F23" i="30" s="1"/>
  <c r="C7" i="30"/>
  <c r="M7" i="30"/>
  <c r="M10" i="30" s="1"/>
  <c r="M13" i="30" s="1"/>
  <c r="M23" i="30" s="1"/>
  <c r="J7" i="30"/>
  <c r="J10" i="30" s="1"/>
  <c r="J13" i="30" s="1"/>
  <c r="J23" i="30" s="1"/>
  <c r="E7" i="30"/>
  <c r="E10" i="30" s="1"/>
  <c r="E13" i="30" s="1"/>
  <c r="E23" i="30" s="1"/>
  <c r="N7" i="30"/>
  <c r="N10" i="30" s="1"/>
  <c r="N13" i="30" s="1"/>
  <c r="N23" i="30" s="1"/>
  <c r="B10" i="30"/>
  <c r="B13" i="30" s="1"/>
  <c r="B23" i="30" s="1"/>
  <c r="O27" i="30"/>
  <c r="H26" i="18"/>
  <c r="D40" i="17"/>
  <c r="L30" i="30"/>
  <c r="G30" i="30"/>
  <c r="M30" i="30"/>
  <c r="H30" i="30"/>
  <c r="C30" i="30"/>
  <c r="F30" i="30"/>
  <c r="I30" i="30"/>
  <c r="D30" i="30"/>
  <c r="J30" i="30"/>
  <c r="N30" i="30"/>
  <c r="E30" i="30"/>
  <c r="K30" i="30"/>
  <c r="AC65" i="5"/>
  <c r="AD65" i="5" s="1"/>
  <c r="E35" i="5"/>
  <c r="E9" i="8"/>
  <c r="F25" i="7"/>
  <c r="AA11" i="8" s="1"/>
  <c r="D95" i="7"/>
  <c r="E95" i="7"/>
  <c r="D4" i="8"/>
  <c r="F34" i="5"/>
  <c r="O13" i="8" s="1"/>
  <c r="F17" i="5"/>
  <c r="O10" i="8" s="1"/>
  <c r="F28" i="5"/>
  <c r="O12" i="8" s="1"/>
  <c r="F63" i="5"/>
  <c r="O25" i="8" s="1"/>
  <c r="F25" i="8" s="1"/>
  <c r="G28" i="18"/>
  <c r="X101" i="7"/>
  <c r="F101" i="7" s="1"/>
  <c r="E21" i="8"/>
  <c r="D38" i="17" s="1"/>
  <c r="F34" i="7"/>
  <c r="AA13" i="8" s="1"/>
  <c r="F97" i="7"/>
  <c r="E42" i="17" s="1"/>
  <c r="B37" i="30" s="1"/>
  <c r="D35" i="7"/>
  <c r="E101" i="7"/>
  <c r="Z29" i="8"/>
  <c r="E29" i="8" s="1"/>
  <c r="D53" i="17"/>
  <c r="D51" i="17" s="1"/>
  <c r="H28" i="18"/>
  <c r="F28" i="7"/>
  <c r="AA12" i="8" s="1"/>
  <c r="F17" i="7"/>
  <c r="AA10" i="8" s="1"/>
  <c r="F14" i="7"/>
  <c r="AA9" i="8" s="1"/>
  <c r="E12" i="8"/>
  <c r="E10" i="8"/>
  <c r="O11" i="8"/>
  <c r="O9" i="8"/>
  <c r="D31" i="17"/>
  <c r="H4" i="18" s="1"/>
  <c r="E31" i="17"/>
  <c r="B26" i="30" s="1"/>
  <c r="X95" i="7"/>
  <c r="X35" i="7"/>
  <c r="AG35" i="7"/>
  <c r="E35" i="7"/>
  <c r="I52" i="5"/>
  <c r="AF65" i="5"/>
  <c r="AG65" i="5" s="1"/>
  <c r="AG35" i="5"/>
  <c r="AD35" i="5"/>
  <c r="N14" i="8"/>
  <c r="N27" i="8" s="1"/>
  <c r="N30" i="8" s="1"/>
  <c r="E13" i="8"/>
  <c r="K65" i="5"/>
  <c r="L35" i="5"/>
  <c r="E11" i="8"/>
  <c r="I35" i="5"/>
  <c r="E5" i="18"/>
  <c r="E3" i="18" s="1"/>
  <c r="E19" i="18" s="1"/>
  <c r="E31" i="18" s="1"/>
  <c r="E73" i="9"/>
  <c r="E8" i="17"/>
  <c r="E4" i="17" s="1"/>
  <c r="I9" i="18"/>
  <c r="F35" i="6"/>
  <c r="F58" i="6" s="1"/>
  <c r="R14" i="8"/>
  <c r="R27" i="8" s="1"/>
  <c r="R30" i="8" s="1"/>
  <c r="H65" i="5"/>
  <c r="E65" i="5" s="1"/>
  <c r="D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C8" i="17"/>
  <c r="C53" i="17"/>
  <c r="D7" i="8"/>
  <c r="C32" i="17" s="1"/>
  <c r="G5" i="18" s="1"/>
  <c r="C22" i="17"/>
  <c r="C7" i="17"/>
  <c r="C4" i="18" s="1"/>
  <c r="Z14" i="8"/>
  <c r="Y29" i="8"/>
  <c r="C15" i="17"/>
  <c r="N58" i="6"/>
  <c r="R58" i="6"/>
  <c r="P58" i="6"/>
  <c r="P3" i="8"/>
  <c r="P5" i="8" s="1"/>
  <c r="M14" i="8"/>
  <c r="M5" i="8"/>
  <c r="Q58" i="6"/>
  <c r="G25" i="18"/>
  <c r="C5" i="18"/>
  <c r="D35" i="6"/>
  <c r="O7" i="30" l="1"/>
  <c r="O10" i="30" s="1"/>
  <c r="O13" i="30" s="1"/>
  <c r="O23" i="30" s="1"/>
  <c r="C10" i="30"/>
  <c r="C13" i="30" s="1"/>
  <c r="C23" i="30" s="1"/>
  <c r="I26" i="18"/>
  <c r="E40" i="17"/>
  <c r="B35" i="30" s="1"/>
  <c r="F26" i="30"/>
  <c r="I26" i="30"/>
  <c r="D26" i="30"/>
  <c r="K26" i="30"/>
  <c r="J26" i="30"/>
  <c r="M26" i="30"/>
  <c r="E26" i="30"/>
  <c r="L26" i="30"/>
  <c r="G26" i="30"/>
  <c r="N26" i="30"/>
  <c r="H26" i="30"/>
  <c r="C26" i="30"/>
  <c r="O30" i="30"/>
  <c r="F11" i="8"/>
  <c r="F10" i="8"/>
  <c r="F35" i="5"/>
  <c r="F52" i="5"/>
  <c r="O21" i="8" s="1"/>
  <c r="F21" i="8" s="1"/>
  <c r="E38" i="17" s="1"/>
  <c r="F12" i="8"/>
  <c r="F35" i="7"/>
  <c r="D37" i="17"/>
  <c r="H24" i="18"/>
  <c r="H23" i="18" s="1"/>
  <c r="H30" i="18" s="1"/>
  <c r="AA14" i="8"/>
  <c r="AA27" i="8" s="1"/>
  <c r="F9" i="8"/>
  <c r="E53" i="17"/>
  <c r="E51" i="17" s="1"/>
  <c r="I28" i="18"/>
  <c r="AG95" i="7"/>
  <c r="F95" i="7" s="1"/>
  <c r="O14" i="8"/>
  <c r="I4" i="18"/>
  <c r="F13" i="8"/>
  <c r="L65" i="5"/>
  <c r="I65" i="5"/>
  <c r="E25" i="17"/>
  <c r="E19" i="17"/>
  <c r="Z27" i="8"/>
  <c r="Z30" i="8" s="1"/>
  <c r="E14" i="8"/>
  <c r="D33" i="17" s="1"/>
  <c r="H6" i="18" s="1"/>
  <c r="H3" i="18" s="1"/>
  <c r="H19" i="18" s="1"/>
  <c r="M21" i="8"/>
  <c r="M27" i="8" s="1"/>
  <c r="M30" i="8" s="1"/>
  <c r="P14" i="8"/>
  <c r="D13" i="8"/>
  <c r="Y14" i="8"/>
  <c r="C20" i="17"/>
  <c r="D5" i="8"/>
  <c r="C31" i="17" s="1"/>
  <c r="G4" i="18" s="1"/>
  <c r="D29" i="8"/>
  <c r="D3" i="8"/>
  <c r="C4" i="17"/>
  <c r="C3" i="18"/>
  <c r="D58" i="6"/>
  <c r="G26" i="18"/>
  <c r="O26" i="30" l="1"/>
  <c r="E37" i="17"/>
  <c r="B33" i="30"/>
  <c r="B36" i="30" s="1"/>
  <c r="I24" i="18"/>
  <c r="I23" i="18" s="1"/>
  <c r="I30" i="18" s="1"/>
  <c r="O27" i="8"/>
  <c r="O30" i="8" s="1"/>
  <c r="F65" i="5"/>
  <c r="H31" i="18"/>
  <c r="F14" i="8"/>
  <c r="E33" i="17" s="1"/>
  <c r="B28" i="30" s="1"/>
  <c r="D30" i="17"/>
  <c r="D41" i="17" s="1"/>
  <c r="AA30" i="8"/>
  <c r="E27" i="8"/>
  <c r="E30" i="8" s="1"/>
  <c r="D21" i="8"/>
  <c r="C38" i="17" s="1"/>
  <c r="D14" i="8"/>
  <c r="P27" i="8"/>
  <c r="P30" i="8" s="1"/>
  <c r="C52" i="17"/>
  <c r="C19" i="18"/>
  <c r="C19" i="17"/>
  <c r="C25" i="17"/>
  <c r="Y18" i="8"/>
  <c r="G8" i="18"/>
  <c r="C34" i="17"/>
  <c r="F28" i="30" l="1"/>
  <c r="F32" i="30" s="1"/>
  <c r="F38" i="30" s="1"/>
  <c r="L28" i="30"/>
  <c r="L32" i="30" s="1"/>
  <c r="L38" i="30" s="1"/>
  <c r="G28" i="30"/>
  <c r="G32" i="30" s="1"/>
  <c r="G38" i="30" s="1"/>
  <c r="J28" i="30"/>
  <c r="J32" i="30" s="1"/>
  <c r="J38" i="30" s="1"/>
  <c r="M28" i="30"/>
  <c r="M32" i="30" s="1"/>
  <c r="M38" i="30" s="1"/>
  <c r="H28" i="30"/>
  <c r="H32" i="30" s="1"/>
  <c r="H38" i="30" s="1"/>
  <c r="C28" i="30"/>
  <c r="I28" i="30"/>
  <c r="I32" i="30" s="1"/>
  <c r="I38" i="30" s="1"/>
  <c r="D28" i="30"/>
  <c r="D32" i="30" s="1"/>
  <c r="D38" i="30" s="1"/>
  <c r="E28" i="30"/>
  <c r="E32" i="30" s="1"/>
  <c r="E38" i="30" s="1"/>
  <c r="K28" i="30"/>
  <c r="K32" i="30" s="1"/>
  <c r="K38" i="30" s="1"/>
  <c r="N28" i="30"/>
  <c r="N32" i="30" s="1"/>
  <c r="N38" i="30" s="1"/>
  <c r="B32" i="30"/>
  <c r="B38" i="30" s="1"/>
  <c r="B40" i="30" s="1"/>
  <c r="G24" i="18"/>
  <c r="C37" i="17"/>
  <c r="E30" i="17"/>
  <c r="E41" i="17" s="1"/>
  <c r="F27" i="8"/>
  <c r="F30" i="8" s="1"/>
  <c r="D43" i="17"/>
  <c r="D56" i="17" s="1"/>
  <c r="C33" i="17"/>
  <c r="G6" i="18" s="1"/>
  <c r="I6" i="18"/>
  <c r="I3" i="18" s="1"/>
  <c r="D47" i="17"/>
  <c r="G23" i="18"/>
  <c r="C30" i="18"/>
  <c r="C51" i="17"/>
  <c r="Y27" i="8"/>
  <c r="Y30" i="8" s="1"/>
  <c r="D18" i="8"/>
  <c r="C35" i="17" s="1"/>
  <c r="G9" i="18" s="1"/>
  <c r="O28" i="30" l="1"/>
  <c r="O32" i="30" s="1"/>
  <c r="O38" i="30" s="1"/>
  <c r="O40" i="30" s="1"/>
  <c r="C32" i="30"/>
  <c r="C38" i="30" s="1"/>
  <c r="C40" i="30" s="1"/>
  <c r="D3" i="30" s="1"/>
  <c r="D40" i="30" s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I19" i="18"/>
  <c r="I31" i="18" s="1"/>
  <c r="E47" i="17"/>
  <c r="E43" i="17"/>
  <c r="E56" i="17" s="1"/>
  <c r="C31" i="18"/>
  <c r="G30" i="18"/>
  <c r="G3" i="18"/>
  <c r="G19" i="18" s="1"/>
  <c r="D27" i="8"/>
  <c r="D30" i="8" s="1"/>
  <c r="G31" i="18" l="1"/>
  <c r="C30" i="17"/>
  <c r="C41" i="17" l="1"/>
  <c r="C43" i="17" s="1"/>
  <c r="C56" i="17" s="1"/>
  <c r="C47" i="17" l="1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13.793 eFt</t>
        </r>
      </text>
    </comment>
    <comment ref="D6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NMI támogatás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adó: 29.000eFt
Polg. 2020.évi céljutt: 1.341eFt
VH tartalék 2020.évi maradványa: 62.500eFt
Viziközmű 2020.évi maradványa: </t>
        </r>
        <r>
          <rPr>
            <b/>
            <sz val="9"/>
            <color indexed="81"/>
            <rFont val="Segoe UI"/>
            <family val="2"/>
            <charset val="238"/>
          </rPr>
          <t>53.372</t>
        </r>
        <r>
          <rPr>
            <sz val="9"/>
            <color indexed="81"/>
            <rFont val="Segoe UI"/>
            <family val="2"/>
            <charset val="238"/>
          </rPr>
          <t>eFt</t>
        </r>
      </text>
    </comment>
    <comment ref="C7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fejl.tart.: 3.000eFt +20.000Ft járda felúj
400M: 90.144eFt + 9.240eFt (főszámla ford.áfa)
TOP.3.2.1 Iskolaenerg.: 434eFt
TOP 2.1.2 Zöld város : </t>
        </r>
        <r>
          <rPr>
            <b/>
            <sz val="9"/>
            <color indexed="81"/>
            <rFont val="Segoe UI"/>
            <family val="2"/>
            <charset val="238"/>
          </rPr>
          <t xml:space="preserve">47.717 </t>
        </r>
        <r>
          <rPr>
            <sz val="9"/>
            <color indexed="81"/>
            <rFont val="Segoe UI"/>
            <family val="2"/>
            <charset val="238"/>
          </rPr>
          <t>eFt 
TOP 4.1.1 Eg.ház: 850 eFT
TOP 5.3.1 Helyi ident: 10.900 eFt
EFOP 4.1.8 könyvtár: 24 eFt
TOP 5.3.1 Helyi id. (BBK): 7.744 eFt
TOP 1.4.1 Bölcsőde: 220.943 EFt
800M VÜ telephely: 128.205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  <author>user</author>
  </authors>
  <commentList>
    <comment ref="AB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450</t>
        </r>
      </text>
    </comment>
    <comment ref="AF6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162</t>
        </r>
      </text>
    </comment>
    <comment ref="AF9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  <comment ref="AB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300
Rendezvény: 100</t>
        </r>
      </text>
    </comment>
    <comment ref="AC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BGA tartból átcsop ásványvíz vás.
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Norbi: 12*215,8eFt
weboldal: 12*20+áfa</t>
        </r>
      </text>
    </comment>
    <comment ref="M19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Felhasználó:
</t>
        </r>
        <r>
          <rPr>
            <sz val="9"/>
            <color indexed="81"/>
            <rFont val="Segoe UI"/>
            <family val="2"/>
            <charset val="238"/>
          </rPr>
          <t>Pápay: 15.641 eFt</t>
        </r>
        <r>
          <rPr>
            <sz val="9"/>
            <color indexed="81"/>
            <rFont val="Segoe UI"/>
            <family val="2"/>
            <charset val="238"/>
          </rPr>
          <t xml:space="preserve">
Szünidei: 235</t>
        </r>
      </text>
    </comment>
    <comment ref="AC1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BGA tart Mezőköplény tánctábor étkezés</t>
        </r>
      </text>
    </comment>
    <comment ref="G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MÁV:52+áfa
Egészségh.járda: 116 (1077/3hrsz)</t>
        </r>
      </text>
    </comment>
    <comment ref="G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Keve: 12*35eFt kamerarendszer karb., működtetés
</t>
        </r>
      </text>
    </comment>
    <comment ref="G2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továbbszla: 500eFt</t>
        </r>
      </text>
    </comment>
    <comment ref="G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gyepmester: 550eFt
biztosítás: 1500eFt
egyéb: 300eFt
Eg.ház tűzjelző felügy: 176eFt</t>
        </r>
      </text>
    </comment>
    <comment ref="Y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Pletser: 12*62,5e=750e
Elektro: 12*184,5e=2214e+111e áfa
Prieger: 12*240e=2880e</t>
        </r>
      </text>
    </comment>
    <comment ref="AB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1260
Rendezvény: 780
-1.348</t>
        </r>
      </text>
    </comment>
    <comment ref="AC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BGA tartból Mezőkölpénybe szállítás, tánctábor táncművészek díja</t>
        </r>
      </text>
    </comment>
    <comment ref="AF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Fülesbagoly fesztivál 5.000
Galéria Projekt 4.991
Tök Jó Hét 2.000
Trilla Nép-Dal ünnep 9606</t>
        </r>
      </text>
    </comment>
    <comment ref="M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Pápay: 4.223 eFt
Szünidei: 64</t>
        </r>
      </text>
    </comment>
    <comment ref="AB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420
Rendezvény: 210
-364</t>
        </r>
      </text>
    </comment>
    <comment ref="A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BGA tartból átcsop ásványvíz vás.</t>
        </r>
      </text>
    </comment>
    <comment ref="AF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Trilla Nép-Dal ünnepség</t>
        </r>
      </text>
    </comment>
    <comment ref="AF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KÖFOP ASP maradványa</t>
        </r>
      </text>
    </comment>
    <comment ref="AF6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Visszatér tám Sajtmustra</t>
        </r>
      </text>
    </comment>
    <comment ref="AE6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BBK 2021.évi becsült rendezvénye</t>
        </r>
      </text>
    </comment>
    <comment ref="AE6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</t>
        </r>
      </text>
    </comment>
    <comment ref="AE6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Zöldváros viziközmű tartalékból
</t>
        </r>
      </text>
    </comment>
    <comment ref="AE6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Mirrotron bevétele
VP piacból: 22.208 eFt
VP kült.utak: 13.231 eFt
Járda felúj: 20.000eFt</t>
        </r>
      </text>
    </comment>
    <comment ref="AE6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HIPA csökkentése 52.800eFt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12.xml><?xml version="1.0" encoding="utf-8"?>
<comments xmlns="http://schemas.openxmlformats.org/spreadsheetml/2006/main">
  <authors>
    <author>Felhasználó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G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comments13.xml><?xml version="1.0" encoding="utf-8"?>
<comments xmlns="http://schemas.openxmlformats.org/spreadsheetml/2006/main">
  <authors>
    <author>Felhasználó</author>
  </authors>
  <commentLis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S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J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V8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munkaszervezet 4mFt
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1788*12=21456e
várható, becsült tervszám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22.559 eFt
Pápay: 3.344 eFt</t>
        </r>
      </text>
    </comment>
    <comment ref="B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víz vagyonkez: 334
víziközmű fejl: 690
csatorna üzemelt.díj: 23.287 (2020.évi 3hó+)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Fejérvíz: 142+23+4762
Beethoven: 634
Pápay: 437
Továbbszla: 135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E.ON: 1800
Telenor: 1202
Für Elise: 1440
M.Telekom: 410
Jellinek Kinga: 2295
Hiteles: 420
Digi: 600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Újság: 113
Továbbszla: 134
Fejérvíz: 90+186+6287
Beethoven: 6.091 eFt
Pápay: 903 eFt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óvodai élelmezés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Kar.naptár:470+130áfa
Koszorú, meghívó: 150+50áfa
Repi anyag: 550+150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Lauf Audit: 600+áfa
Bankktg+likvidhitelktg: 3.400eFt
Kommunikációs díja: 1*200+11*230=2.730eFt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J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12*45,3</t>
        </r>
      </text>
    </comment>
    <comment ref="M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Fodor Med, Kardio K: labor 2*12*58</t>
        </r>
      </text>
    </comment>
    <comment ref="M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vérszáll: 240
veszélyes hulladék: 80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5.911eFt (16.570eFt-10.659eFt)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</commentList>
</comments>
</file>

<file path=xl/sharedStrings.xml><?xml version="1.0" encoding="utf-8"?>
<sst xmlns="http://schemas.openxmlformats.org/spreadsheetml/2006/main" count="2777" uniqueCount="1090">
  <si>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</si>
  <si>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</si>
  <si>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</si>
  <si>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</si>
  <si>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</si>
  <si>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</si>
  <si>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</si>
  <si>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</si>
  <si>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</si>
  <si>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</si>
  <si>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</si>
  <si>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</si>
  <si>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</si>
  <si>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</si>
  <si>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</si>
  <si>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</si>
  <si>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</si>
  <si>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</si>
  <si>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</si>
  <si>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</si>
  <si>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</si>
  <si>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</si>
  <si>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</si>
  <si>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</si>
  <si>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</si>
  <si>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</si>
  <si>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</si>
  <si>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</si>
  <si>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</si>
  <si>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</si>
  <si>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</si>
  <si>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</si>
  <si>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</si>
  <si>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</si>
  <si>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</si>
  <si>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</si>
  <si>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</si>
  <si>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</si>
  <si>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</si>
  <si>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</si>
  <si>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</si>
  <si>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</si>
  <si>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</si>
  <si>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</si>
  <si>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</si>
  <si>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</si>
  <si>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</si>
  <si>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</si>
  <si>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</si>
  <si>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</si>
  <si>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</si>
  <si>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</si>
  <si>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</si>
  <si>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</si>
  <si>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</si>
  <si>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</si>
  <si>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</si>
  <si>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</si>
  <si>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</si>
  <si>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</si>
  <si>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</si>
  <si>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</si>
  <si>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</si>
  <si>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</si>
  <si>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</si>
  <si>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</si>
  <si>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</si>
  <si>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</si>
  <si>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</si>
  <si>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</si>
  <si>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</si>
  <si>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</si>
  <si>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</si>
  <si>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</si>
  <si>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</si>
  <si>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</si>
  <si>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</si>
  <si>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</si>
  <si>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</si>
  <si>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</si>
  <si>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</si>
  <si>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</si>
  <si>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</si>
  <si>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</si>
  <si>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</si>
  <si>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</si>
  <si>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</si>
  <si>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</si>
  <si>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</si>
  <si>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</si>
  <si>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</si>
  <si>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</si>
  <si>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</si>
  <si>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</si>
  <si>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</si>
  <si>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</si>
  <si>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</si>
  <si>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</si>
  <si>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</si>
  <si>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</si>
  <si>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</si>
  <si>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</si>
  <si>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</si>
  <si>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</si>
  <si>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</si>
  <si>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</si>
  <si>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</si>
  <si>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</si>
  <si>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</si>
  <si>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</si>
  <si>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</si>
  <si>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</si>
  <si>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</si>
  <si>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</si>
  <si>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</si>
  <si>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</si>
  <si>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</si>
  <si>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</si>
  <si>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</si>
  <si>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</si>
  <si>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</si>
  <si>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</si>
  <si>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</si>
  <si>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</si>
  <si>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</si>
  <si>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</si>
  <si>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</si>
  <si>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</si>
  <si>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</si>
  <si>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</si>
  <si>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</si>
  <si>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</si>
  <si>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</si>
  <si>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</si>
  <si>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</si>
  <si>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</si>
  <si>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</si>
  <si>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</si>
  <si>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</si>
  <si>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</si>
  <si>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</si>
  <si>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</si>
  <si>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</si>
  <si>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</si>
  <si>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</si>
  <si>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</si>
  <si>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</si>
  <si>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</si>
  <si>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</si>
  <si>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</si>
  <si>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</si>
  <si>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</si>
  <si>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</si>
  <si>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</si>
  <si>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</si>
  <si>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</si>
  <si>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</si>
  <si>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</si>
  <si>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</si>
  <si>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</si>
  <si>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</si>
  <si>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</si>
  <si>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</si>
  <si>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</si>
  <si>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</si>
  <si>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</si>
  <si>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</si>
  <si>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</si>
  <si>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</si>
  <si>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</si>
  <si>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</si>
  <si>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</si>
  <si>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</si>
  <si>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</si>
  <si>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</si>
  <si>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</si>
  <si>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</si>
  <si>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</si>
  <si>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</si>
  <si>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</si>
  <si>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</si>
  <si>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</si>
  <si>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</si>
  <si>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</si>
  <si>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</si>
  <si>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</si>
  <si>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</si>
  <si>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</si>
  <si>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</si>
  <si>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</si>
  <si>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</si>
  <si>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</si>
  <si>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</si>
  <si>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</si>
  <si>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</si>
  <si>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</si>
  <si>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</si>
  <si>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</si>
  <si>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</si>
  <si>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</si>
  <si>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</si>
  <si>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</si>
  <si>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</si>
  <si>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</si>
  <si>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</si>
  <si>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</si>
  <si>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</si>
  <si>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</si>
  <si>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</si>
  <si>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</si>
  <si>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</si>
  <si>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</si>
  <si>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</si>
  <si>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</si>
  <si>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</si>
  <si>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</si>
  <si>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</si>
  <si>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</si>
  <si>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</si>
  <si>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</si>
  <si>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</si>
  <si>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</si>
  <si>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</si>
  <si>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</si>
  <si>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</si>
  <si>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</si>
  <si>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</si>
  <si>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</si>
  <si>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</si>
  <si>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</si>
  <si>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</si>
  <si>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</si>
  <si>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</si>
  <si>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</si>
  <si>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</si>
  <si>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</si>
  <si>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</si>
  <si>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</si>
  <si>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</si>
  <si>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</si>
  <si>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</si>
  <si>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</si>
  <si>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</si>
  <si>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</si>
  <si>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</si>
  <si>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</si>
  <si>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</si>
  <si>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</si>
  <si>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</si>
  <si>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</si>
  <si>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</si>
  <si>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</si>
  <si>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</si>
  <si>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</si>
  <si>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</si>
  <si>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</si>
  <si>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</si>
  <si>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</si>
  <si>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</si>
  <si>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</si>
  <si>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</si>
  <si>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</si>
  <si>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</si>
  <si>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</si>
  <si>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</si>
  <si>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</si>
  <si>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</si>
  <si>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</si>
  <si>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</si>
  <si>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</si>
  <si>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</si>
  <si>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</si>
  <si>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</si>
  <si>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</si>
  <si>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</si>
  <si>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</si>
  <si>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</si>
  <si>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</si>
  <si>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</si>
  <si>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</si>
  <si>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</si>
  <si>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</si>
  <si>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</si>
  <si>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</si>
  <si>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</si>
  <si>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</si>
  <si>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</si>
  <si>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</si>
  <si>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</si>
  <si>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</si>
  <si>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</si>
  <si>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</si>
  <si>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</si>
  <si>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</si>
  <si>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</si>
  <si>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</si>
  <si>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</si>
  <si>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</si>
  <si>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</si>
  <si>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</si>
  <si>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</si>
  <si>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</si>
  <si>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</si>
  <si>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</si>
  <si>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</si>
  <si>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</si>
  <si>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</si>
  <si>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</si>
  <si>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</si>
  <si>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</si>
  <si>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</si>
  <si>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</si>
  <si>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</si>
  <si>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</si>
  <si>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</si>
  <si>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</si>
  <si>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</si>
  <si>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</si>
  <si>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</si>
  <si>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</si>
  <si>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</si>
  <si>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</si>
  <si>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</si>
  <si>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</si>
  <si>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</si>
  <si>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</si>
  <si>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</si>
  <si>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</si>
  <si>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</si>
  <si>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</si>
  <si>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</si>
  <si>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</si>
  <si>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</si>
  <si>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</si>
  <si>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</si>
  <si>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</si>
  <si>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</si>
  <si>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</si>
  <si>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</si>
  <si>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</si>
  <si>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</si>
  <si>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</si>
  <si>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</si>
  <si>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</si>
  <si>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</si>
  <si>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</si>
  <si>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</si>
  <si>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</si>
  <si>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</si>
  <si>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</si>
  <si>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</si>
  <si>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</si>
  <si>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</si>
  <si>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</si>
  <si>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</si>
  <si>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</si>
  <si>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</si>
  <si>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</si>
  <si>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</si>
  <si>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</si>
  <si>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</si>
  <si>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</si>
  <si>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</si>
  <si>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</si>
  <si>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</si>
  <si>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</si>
  <si>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</si>
  <si>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</si>
  <si>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</si>
  <si>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</si>
  <si>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</si>
  <si>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</si>
  <si>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</si>
  <si>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</si>
  <si>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</si>
  <si>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</si>
  <si>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</si>
  <si>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</si>
  <si>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</si>
  <si>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</si>
  <si>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</si>
  <si>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</si>
  <si>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</si>
  <si>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</si>
  <si>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</si>
  <si>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</si>
  <si>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</si>
  <si>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</si>
  <si>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</si>
  <si>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</si>
  <si>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</si>
  <si>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</si>
  <si>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</si>
  <si>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</si>
  <si>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</si>
  <si>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</si>
  <si>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</si>
  <si>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</si>
  <si>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</si>
  <si>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</si>
  <si>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</si>
  <si>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</si>
  <si>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</si>
  <si>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</si>
  <si>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</si>
  <si>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</si>
  <si>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</si>
  <si>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</si>
  <si>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</si>
  <si>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</si>
  <si>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</si>
  <si>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</si>
  <si>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</si>
  <si>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</si>
  <si>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</si>
  <si>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</si>
  <si>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</si>
  <si>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</si>
  <si>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</si>
  <si>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</si>
  <si>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</si>
  <si>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</si>
  <si>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</si>
  <si>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</si>
  <si>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</si>
  <si>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</si>
  <si>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</si>
  <si>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</si>
  <si>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</si>
  <si>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</si>
  <si>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</si>
  <si>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</si>
  <si>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</si>
  <si>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</si>
  <si>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</si>
  <si>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</si>
  <si>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</si>
  <si>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</si>
  <si>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</si>
  <si>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</si>
  <si>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</si>
  <si>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</si>
  <si>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</si>
  <si>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</si>
  <si>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</si>
  <si>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</si>
  <si>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</si>
  <si>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</si>
  <si>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</si>
  <si>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</si>
  <si>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</si>
  <si>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</si>
  <si>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</si>
  <si>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</si>
  <si>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</si>
  <si>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</si>
  <si>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</si>
  <si>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</si>
  <si>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</si>
  <si>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</si>
  <si>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</si>
  <si>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</si>
  <si>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</si>
  <si>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</si>
  <si>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</si>
  <si>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</si>
  <si>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</si>
  <si>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</si>
  <si>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</si>
  <si>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</si>
  <si>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</si>
  <si>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</si>
  <si>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</si>
  <si>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</si>
  <si>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</si>
  <si>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</si>
  <si>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</si>
  <si>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</si>
  <si>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</si>
  <si>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</si>
  <si>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</si>
  <si>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</si>
  <si>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</si>
  <si>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</si>
  <si>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</si>
  <si>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</si>
  <si>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</si>
  <si>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</si>
  <si>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</si>
  <si>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</si>
  <si>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</si>
  <si>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</si>
  <si>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</si>
  <si>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</si>
  <si>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</si>
  <si>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Működési célú támogatások visszatérülése ÁH-n kívülről</t>
  </si>
  <si>
    <t>Zsidó Hitközség</t>
  </si>
  <si>
    <t xml:space="preserve">Továbbszámlázott szolg.  bevétele 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</si>
  <si>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</si>
  <si>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</si>
  <si>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</si>
  <si>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</si>
  <si>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</si>
  <si>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</si>
  <si>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</si>
  <si>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</si>
  <si>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</si>
  <si>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</si>
  <si>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</si>
  <si>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</si>
  <si>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</si>
  <si>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</si>
  <si>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</si>
  <si>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</si>
  <si>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</si>
  <si>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</si>
  <si>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</si>
  <si>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</si>
  <si>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</si>
  <si>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</si>
  <si>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</si>
  <si>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</si>
  <si>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</si>
  <si>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</si>
  <si>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</si>
  <si>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</si>
  <si>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</si>
  <si>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</si>
  <si>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</si>
  <si>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</si>
  <si>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</si>
  <si>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</si>
  <si>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</si>
  <si>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</si>
  <si>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</si>
  <si>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</si>
  <si>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</si>
  <si>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</si>
  <si>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</si>
  <si>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</si>
  <si>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</si>
  <si>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</si>
  <si>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</si>
  <si>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</si>
  <si>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</si>
  <si>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</si>
  <si>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</si>
  <si>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</si>
  <si>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</si>
  <si>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</si>
  <si>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</si>
  <si>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</si>
  <si>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</si>
  <si>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</si>
  <si>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ebből fordított áfa</t>
  </si>
  <si>
    <t>Bérleti díj bevétel</t>
  </si>
  <si>
    <t>INTÉZMÉNYI BERUHÁZÁSOK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</si>
  <si>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</si>
  <si>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</si>
  <si>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</si>
  <si>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</si>
  <si>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</si>
  <si>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</si>
  <si>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</si>
  <si>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</si>
  <si>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</si>
  <si>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</si>
  <si>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</si>
  <si>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</si>
  <si>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</si>
  <si>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</si>
  <si>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</si>
  <si>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</si>
  <si>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</si>
  <si>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</si>
  <si>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</si>
  <si>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</si>
  <si>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</si>
  <si>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</si>
  <si>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</si>
  <si>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</si>
  <si>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</si>
  <si>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</si>
  <si>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</si>
  <si>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Városmenedzsment MT szerint fogl.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</si>
  <si>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</si>
  <si>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</si>
  <si>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</si>
  <si>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</si>
  <si>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</si>
  <si>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</si>
  <si>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</si>
  <si>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</si>
  <si>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</si>
  <si>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</si>
  <si>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</si>
  <si>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</si>
  <si>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</si>
  <si>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</si>
  <si>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</si>
  <si>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</si>
  <si>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</si>
  <si>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</si>
  <si>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</si>
  <si>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</si>
  <si>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</si>
  <si>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</si>
  <si>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</si>
  <si>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</si>
  <si>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</si>
  <si>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</si>
  <si>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</si>
  <si>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</si>
  <si>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</si>
  <si>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</si>
  <si>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</si>
  <si>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</si>
  <si>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</si>
  <si>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</si>
  <si>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</si>
  <si>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</si>
  <si>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</si>
  <si>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</si>
  <si>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</si>
  <si>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</si>
  <si>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</si>
  <si>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</si>
  <si>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</si>
  <si>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</si>
  <si>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</si>
  <si>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</si>
  <si>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</si>
  <si>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</si>
  <si>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</si>
  <si>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</si>
  <si>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</si>
  <si>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</si>
  <si>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</si>
  <si>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</si>
  <si>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</si>
  <si>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</si>
  <si>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</si>
  <si>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</si>
  <si>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</si>
  <si>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</si>
  <si>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</si>
  <si>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</si>
  <si>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</si>
  <si>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</si>
  <si>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</si>
  <si>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</si>
  <si>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</si>
  <si>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</si>
  <si>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Ssz.</t>
  </si>
  <si>
    <t>Óvodapedagógusok nev. munkáját közvetlenül segítők bértámogatása</t>
  </si>
  <si>
    <t>TOP 2.1.2 (Zöld város)</t>
  </si>
  <si>
    <t>TOP 4.1.1 (Egészségház)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</si>
  <si>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</si>
  <si>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</si>
  <si>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</si>
  <si>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</si>
  <si>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</si>
  <si>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</si>
  <si>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</si>
  <si>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</si>
  <si>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</si>
  <si>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</si>
  <si>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</si>
  <si>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</si>
  <si>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</si>
  <si>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</si>
  <si>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072312</t>
  </si>
  <si>
    <t>104030</t>
  </si>
  <si>
    <t>Polgármesteri illetmény támogatása</t>
  </si>
  <si>
    <t>Gyermekétkeztetés bevétele</t>
  </si>
  <si>
    <t>Önkormányzati tartalék</t>
  </si>
  <si>
    <t>Brunszvik T. óvoda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</si>
  <si>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</si>
  <si>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</si>
  <si>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</si>
  <si>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</si>
  <si>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</si>
  <si>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</si>
  <si>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</si>
  <si>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</si>
  <si>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</si>
  <si>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</si>
  <si>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</si>
  <si>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</si>
  <si>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</si>
  <si>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</si>
  <si>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</si>
  <si>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</si>
  <si>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</si>
  <si>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</si>
  <si>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</si>
  <si>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</si>
  <si>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Fejlesztési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</si>
  <si>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</si>
  <si>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</si>
  <si>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</si>
  <si>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</si>
  <si>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</si>
  <si>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</si>
  <si>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</si>
  <si>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</si>
  <si>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</si>
  <si>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</si>
  <si>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</si>
  <si>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</si>
  <si>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Bevételek összesen</t>
  </si>
  <si>
    <t>Szem jell.</t>
  </si>
  <si>
    <t>Járulék</t>
  </si>
  <si>
    <t>Ber.célú p.e.átadás</t>
  </si>
  <si>
    <t>Műk.célú bevétel</t>
  </si>
  <si>
    <t>Felhalm. Bevétel</t>
  </si>
  <si>
    <t>Felhalm.c.bevétel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</si>
  <si>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</si>
  <si>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</si>
  <si>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</si>
  <si>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</si>
  <si>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</si>
  <si>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</si>
  <si>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</si>
  <si>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</si>
  <si>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</si>
  <si>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</si>
  <si>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</si>
  <si>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</si>
  <si>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</si>
  <si>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</si>
  <si>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</si>
  <si>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</si>
  <si>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</si>
  <si>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082042- Könyvtári szolgáltatások</t>
  </si>
  <si>
    <t>Előirányzat módosítás részletes nyilvántartása - Martonvásár Város Önkormányzata</t>
  </si>
  <si>
    <t>Előirányzat módosítás részletes nyilvántartása - Martonvásári Polgármesteri Hivatal</t>
  </si>
  <si>
    <t>Előirányzat módosítás részletes nyilvántartása - Brunszvik Teréz Óvoda</t>
  </si>
  <si>
    <t>Konszolidált előirányzat módosítás Martonvásár Város Önkormányzata és intézményei</t>
  </si>
  <si>
    <t>Kulturális ill.pótlék</t>
  </si>
  <si>
    <t>Választás (Önkormányzati)</t>
  </si>
  <si>
    <t>VP Piac</t>
  </si>
  <si>
    <t>VP 7.2.1 Külterületi utak</t>
  </si>
  <si>
    <t>Munkáltatói kölcsön visszatérítése</t>
  </si>
  <si>
    <t xml:space="preserve">Óvodai és iskolai szociális segítő tevékenység támogatása </t>
  </si>
  <si>
    <t>VP 7.2.7 (Külterületi út)</t>
  </si>
  <si>
    <t>TOP-3.2.1 Iskolaenergetika</t>
  </si>
  <si>
    <t>Polgárőrség, Rendőrség, Mentőszolgálat és Tűzoltóság  támogatása</t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</si>
  <si>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</si>
  <si>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</si>
  <si>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</si>
  <si>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</si>
  <si>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</si>
  <si>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</si>
  <si>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</si>
  <si>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</si>
  <si>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</si>
  <si>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</si>
  <si>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</si>
  <si>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</si>
  <si>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</si>
  <si>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</si>
  <si>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</si>
  <si>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</si>
  <si>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</si>
  <si>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</si>
  <si>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</si>
  <si>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</si>
  <si>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</si>
  <si>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</si>
  <si>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</si>
  <si>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</si>
  <si>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</si>
  <si>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</si>
  <si>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</si>
  <si>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</si>
  <si>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</si>
  <si>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2019. évi módosítás</t>
  </si>
  <si>
    <t>PH összesen</t>
  </si>
  <si>
    <t>Óvodai bevételek</t>
  </si>
  <si>
    <t>Óvoda összesen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</si>
  <si>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</si>
  <si>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</si>
  <si>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</si>
  <si>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</si>
  <si>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</si>
  <si>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</si>
  <si>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052020 Szennyvíz gyűjtése, tisztítása, elhelyezése;
063080 Vízellátással kapcsolatos közmű építése, fenntartása, üzemeltetése</t>
  </si>
  <si>
    <t>084032;
011130</t>
  </si>
  <si>
    <t>PM elvonás intézményektől</t>
  </si>
  <si>
    <t>Kehop 2.2.1 csatorna</t>
  </si>
  <si>
    <t>Tornacsarnok tervezési különbözet</t>
  </si>
  <si>
    <t>Martongazdának adott előleg</t>
  </si>
  <si>
    <t>Műk.célú pénzeszk.átvétel SZLV TKT és Segítő Szolg.</t>
  </si>
  <si>
    <t>Ingatlan értékesítés (Mirrotron)</t>
  </si>
  <si>
    <t>Nyári diákmunka támogatása</t>
  </si>
  <si>
    <t>Köztisztviselői illetményalap változás támogatása</t>
  </si>
  <si>
    <t xml:space="preserve">Ingatlan értékesítés </t>
  </si>
  <si>
    <t>Települési adó</t>
  </si>
  <si>
    <t>Mezőőri járulék</t>
  </si>
  <si>
    <t>Behajtási engedély, közterület foglalás</t>
  </si>
  <si>
    <t>066020 - BM támogatás 400M (Brunszvik Terv megvalósítása)</t>
  </si>
  <si>
    <t>EFOP 4.1.8 (Könyvtár)</t>
  </si>
  <si>
    <t>K48 - Egyéb nem intézményi ellátások</t>
  </si>
  <si>
    <t>K506 - Egyéb működési célú támogatások áh-n belülre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</si>
  <si>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</si>
  <si>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</si>
  <si>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</si>
  <si>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</si>
  <si>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</si>
  <si>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</si>
  <si>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</si>
  <si>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</si>
  <si>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Malom</t>
  </si>
  <si>
    <t>ebből Martongazda telephely, Vásártér</t>
  </si>
  <si>
    <t>ebből Egyéb ingatlanok</t>
  </si>
  <si>
    <t>104035 - 104037 - Gyermekétkeztetés bölcsödében és fogyatékosok nappali intézményében               104037 - Intézményen kívüli gyermekétkeztetés</t>
  </si>
  <si>
    <t>Települési adó bevételből származó többlet tartalék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</si>
  <si>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</si>
  <si>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</si>
  <si>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1521/2018. (X.17.) Korm. Határozat szerinti támogatás keretében megvalósuló felújítások összesen</t>
  </si>
  <si>
    <t>Mód.Ei I.</t>
  </si>
  <si>
    <t>013350- Az önkormányzati vagyonnal való gazdálkodással kapcsolatos feladat (saját forrás)</t>
  </si>
  <si>
    <t xml:space="preserve">074040 - Fertőző megbetegedések megelőzése, járványügyi ellátás  </t>
  </si>
  <si>
    <t>045160</t>
  </si>
  <si>
    <t>Közutak, hidak üzemeltetése</t>
  </si>
  <si>
    <t>Martonvásár Város Képviselőtestület …../2021 (….) önkormányzati rendelete Martonvásár Város 2021.évi költségvetésének módosításáról</t>
  </si>
  <si>
    <t>Martonvásár Város Önkormányzatának 2021.évi költségvetésének pénzügyi mérlege I.</t>
  </si>
  <si>
    <t>Martonvásár Város Önkormányzatának 2021.évi költségvetésének pénzügyi mérlege II.</t>
  </si>
  <si>
    <t>Martonvásár Város Önkormányzatának 2021. évi bevétele (intézmények nélkül)</t>
  </si>
  <si>
    <t>Martonvásár Város Önkormányzatának 2021. évi átvett pénzeszközei</t>
  </si>
  <si>
    <t>Martonvásár Város Önkormányzatának 2021. évi működési bevételei</t>
  </si>
  <si>
    <t>Martonvásár Város Önkormányzatának 2021. évi  közhatalmi bevételei</t>
  </si>
  <si>
    <t>Martonvásár Város Önkormányzatának 2021. évi normatív támogatásai</t>
  </si>
  <si>
    <t>Martonvásár Város Önkormányzatának 2021. évi kiadásai (intézmények nélkül)</t>
  </si>
  <si>
    <t>Martonvásár Város Önkormányzatának 2021. évi kiadásai - Önkormányzati jogalkotás kormányzati funkció</t>
  </si>
  <si>
    <t>Martonvásár Város Önkormányzatának 2021. évi kiadásai - Városfejlesztési feladatok ellátása saját forrásból</t>
  </si>
  <si>
    <t>Martonvásár Város Önkormányzatának 2021. évi kiadásai - Városfejlesztési feladatok ellátása EU forrásból</t>
  </si>
  <si>
    <t>Martonvásár Város Önkormányzatának 2021. évi kiadásai - Védőnői és eü feladatok ellátása</t>
  </si>
  <si>
    <t>Martonvásár Város Önkormányzatának 2021. évi kiadásai - Szociális feladatok ellátása</t>
  </si>
  <si>
    <t>Martonvásár Város Önkormányzatának 2021. évi kiadásai - Átadott pénzeszközök</t>
  </si>
  <si>
    <t>Martonvásár Város Önkormányzatának 2021. évi kiadásai - Egyéb feladatok ellátása</t>
  </si>
  <si>
    <t>Martonvásári Polgármesteri Hivatal 2021. évi kiadásai</t>
  </si>
  <si>
    <t>Brunszvik Teréz Óvoda 2021. évi kiadásai</t>
  </si>
  <si>
    <t>Tájékoztató 1</t>
  </si>
  <si>
    <t>Tájékoztató 2</t>
  </si>
  <si>
    <t>Veszélyhelyzeti céltartalék</t>
  </si>
  <si>
    <t>EU pályázatok finanszírozási tartaléka</t>
  </si>
  <si>
    <t>Fejlesztési tartalék</t>
  </si>
  <si>
    <t>ÁH-n belüli megelőlegezés</t>
  </si>
  <si>
    <t>2021. évi</t>
  </si>
  <si>
    <t>PH  bevételek</t>
  </si>
  <si>
    <t>2021. évi módosítás</t>
  </si>
  <si>
    <t>2020/2021 8hó</t>
  </si>
  <si>
    <t>2021/2022 4 hó</t>
  </si>
  <si>
    <t>2020/2021 8 hó</t>
  </si>
  <si>
    <t>TOP 1.4.1 Bölcsőde</t>
  </si>
  <si>
    <t>TOP 5.3.1 (Helyi identitás) BBK</t>
  </si>
  <si>
    <t>Martonvásár Városi Közszolgáltató Nonprofit Kft-nek átadott pe (kulturális)</t>
  </si>
  <si>
    <t>ebből Brunszvik-Beethoven Közösségi Ház</t>
  </si>
  <si>
    <t>ebből Óvodamúzeum</t>
  </si>
  <si>
    <t>ebből Könyvtár</t>
  </si>
  <si>
    <t>Martonvásár Városi Közszolgáltató Nonprofit Kft-nek átadott pe városüzemeltetési feladatokra</t>
  </si>
  <si>
    <t>Martonvásár Városi Közszolgáltató Nonprofit Kft-nek átadott felhalm. c. pe</t>
  </si>
  <si>
    <t>082042 - Könyvtári állománygyarapítása</t>
  </si>
  <si>
    <t>Viziközmű fejlesztési ct.</t>
  </si>
  <si>
    <t>Veszélyhelyzeti tartalék</t>
  </si>
  <si>
    <t>Rendezvények céltartaléka</t>
  </si>
  <si>
    <t>TOP 1.4.1 Bölcsőde pályázat</t>
  </si>
  <si>
    <t>2021. évi tervezett  létszám (fő)</t>
  </si>
  <si>
    <t>2021. évi módosított   létszám (fő)</t>
  </si>
  <si>
    <t>2021. évi létszám (fő)</t>
  </si>
  <si>
    <t>Martonvásár Város Önkormányzata és Intézményei  2021. évi létszámkerete</t>
  </si>
  <si>
    <t>Veszéyhelyzeti tartalék</t>
  </si>
  <si>
    <t>Viziközmű céltartalék</t>
  </si>
  <si>
    <t>Brunszvik út gyalogátkelőhelyhez táblák</t>
  </si>
  <si>
    <t>Xiaomi 10T Pro mobiltelefon</t>
  </si>
  <si>
    <t>TSZ udvar központi fűtés, hűtési rendszer áttervezése</t>
  </si>
  <si>
    <t>Gáz csatlakozás díja (VÜ telephely)</t>
  </si>
  <si>
    <t>3 fázisú áram bekapcsolása Piac épülethez, VÜ telephelyhez</t>
  </si>
  <si>
    <t>Szvíz átemelő szivattyúk beszerzése</t>
  </si>
  <si>
    <t>Szvíz akna bélelése, riasztó rendszer bővítése</t>
  </si>
  <si>
    <t>TSZ udvar vízbekötési munkálatai</t>
  </si>
  <si>
    <t>Flygt t. szennyvíz szivattyú felújítása</t>
  </si>
  <si>
    <t>Településfejlesztési támogatás</t>
  </si>
  <si>
    <t>045120 - BM járdafelújítás</t>
  </si>
  <si>
    <t>BM járdafelújítás</t>
  </si>
  <si>
    <t>Víz és csatorna rákötési tervek (VÜ telephely, Bölcsöde)</t>
  </si>
  <si>
    <t>045120-Útépítés (saját forrás)</t>
  </si>
  <si>
    <t>Tátra utca behajtók alatti átereszek építése</t>
  </si>
  <si>
    <t>Egészségház beltéri hővédő ablakokra</t>
  </si>
  <si>
    <t>Rendezvények tartaléka</t>
  </si>
  <si>
    <t>ebből Eseti kult.támogatás</t>
  </si>
  <si>
    <t>Molinó TSZ udvar kerítésére</t>
  </si>
  <si>
    <t>Xiaomi Redmi Note mobiltelefon (orvosi rendelő)</t>
  </si>
  <si>
    <t>TSZ udvar 3D-s kerítés</t>
  </si>
  <si>
    <t>Mv 606 hrsz felsővezeték kiváltás tervezése, kivitelezése</t>
  </si>
  <si>
    <t>Házi orvosok támogatása</t>
  </si>
  <si>
    <t>Élelmezési  céltartalék</t>
  </si>
  <si>
    <t>Települési adó tartaléka</t>
  </si>
  <si>
    <t>Szőlő és gyümölcsösök támogatása</t>
  </si>
  <si>
    <t>HÉSZ felülvizsgálata</t>
  </si>
  <si>
    <t>Milleneumi emlékoszlopból relief képek készítése</t>
  </si>
  <si>
    <t>Élelmezési tartalék</t>
  </si>
  <si>
    <t>NÉP-DAL nap, Bethlen Gábor Alap tartaléka</t>
  </si>
  <si>
    <t>Hátralékok behajtása, adós letéti bevétel, adótúlfizetések</t>
  </si>
  <si>
    <t>013350- Az önkormányzati vagyonnal való gazdálkodással kapcsolatos feladat (Tornaterem)</t>
  </si>
  <si>
    <t>Tájékoztató 3</t>
  </si>
  <si>
    <t>Tájékoztató 3.1.</t>
  </si>
  <si>
    <t>Tájékoztató 3.2.</t>
  </si>
  <si>
    <t>Tájékoztató 3.3.</t>
  </si>
  <si>
    <t>Gépjárműadó MÁK általi megtérítése</t>
  </si>
  <si>
    <t>Véroxigénszint mérő (házi orvosoknak)</t>
  </si>
  <si>
    <t>Módosított ei. II.</t>
  </si>
  <si>
    <t>Módosított előirányzat II.</t>
  </si>
  <si>
    <t>Mód.ei. II.</t>
  </si>
  <si>
    <t>Földgázellátás eng, kiviteli terv (VÜ telephely)</t>
  </si>
  <si>
    <t>Ingatlan vásárlás (Orgona utca 16.)</t>
  </si>
  <si>
    <t>066020- Város- és községgazdálkodás                 011130- Önkormányzati jogalkotás (saját forrás)</t>
  </si>
  <si>
    <t>013350- Városüzemeltetési telephely építés - 800M</t>
  </si>
  <si>
    <t>GKSZ út melletti szennyvíz átemelő becsatolása</t>
  </si>
  <si>
    <t>TSZ udvar felvonóba GSM vészjelző egység</t>
  </si>
  <si>
    <t>BBK kiállítótér világítás fejlesztése</t>
  </si>
  <si>
    <t>Térfigyelő rendszerhez kamera beszerzése</t>
  </si>
  <si>
    <t>Brunszvik út páratlan oldalán erős és gyengeáramú védőcső fektetése</t>
  </si>
  <si>
    <t>TOP-2.1.2 Zöld város többlet támogatás</t>
  </si>
  <si>
    <t>HIPA kompenzálása</t>
  </si>
  <si>
    <t>2020.évi elszámolás alapján járó többlet támogatás</t>
  </si>
  <si>
    <t>082091</t>
  </si>
  <si>
    <t>082061</t>
  </si>
  <si>
    <t>082044</t>
  </si>
  <si>
    <t>082030</t>
  </si>
  <si>
    <t>ebből Művészeti tevékenység (tánc)</t>
  </si>
  <si>
    <t>MVK Kft. - Martongazda Nonprofit Kft 2020.évi elszámolása</t>
  </si>
  <si>
    <t>MVK Kft - Kulturális Iroda 2020.évi elszámolása</t>
  </si>
  <si>
    <t>Könyvtári állománybeszerzés</t>
  </si>
  <si>
    <t>Könyvtári érdekeltségnövelő támogatás</t>
  </si>
  <si>
    <t>Módosított ei. III.</t>
  </si>
  <si>
    <t>Módosított előirányzat III.</t>
  </si>
  <si>
    <t>2021. évi módosított támogatás ei. III.</t>
  </si>
  <si>
    <t>Mód.ei. III.</t>
  </si>
  <si>
    <t>Mód. ei. III.</t>
  </si>
  <si>
    <t>2021. évi módosított támogatás ei. II.</t>
  </si>
  <si>
    <t>Mód ei. II.</t>
  </si>
  <si>
    <t>Mód. ei. II.</t>
  </si>
  <si>
    <t>109/2021</t>
  </si>
  <si>
    <t>Ingatlan vételár (1244/D Orgona utca), fejl.tart.</t>
  </si>
  <si>
    <t>Ingatlan vételár (1244/D hrsz.) Orgona utca</t>
  </si>
  <si>
    <t>113/2021</t>
  </si>
  <si>
    <t>EFOP 4.1.8 Könyvtár szabálytalanság miatti visszafiz./ált.tart.</t>
  </si>
  <si>
    <t>121/2021</t>
  </si>
  <si>
    <t>Safexone (okos-zebra) fejl.konc./fejl.tart.</t>
  </si>
  <si>
    <t>Safexone (okos-zebra) fejl.konc.</t>
  </si>
  <si>
    <t>122/2021</t>
  </si>
  <si>
    <t>BBK biztonsági kamera-rendszer kiépítése fejl.konc/fejl.tart.</t>
  </si>
  <si>
    <t>BBK biztonsági kamera-rendszer kiépítése fejl.konc.</t>
  </si>
  <si>
    <t>123/2021</t>
  </si>
  <si>
    <t>VÜ telephely vízbekötése, tűzcsap telepítése/fejl.tart.</t>
  </si>
  <si>
    <t>124/2021</t>
  </si>
  <si>
    <t>Energetikai tanúsítvány, VÜ telephely/fejl.tart.</t>
  </si>
  <si>
    <t>125/2021</t>
  </si>
  <si>
    <t>126/2021</t>
  </si>
  <si>
    <t>127/2021</t>
  </si>
  <si>
    <t>1241/2, 1247, 1248 hrsz. Telekhatár rendezése, ing.nyilv.díj/fejl.tart.</t>
  </si>
  <si>
    <t>Régészeti megfigyelés, Kossuth tér felsővezeték kiváltása/fejl.tart.</t>
  </si>
  <si>
    <t>128/2021</t>
  </si>
  <si>
    <t>Samsung Galaxy mobiltelefon (titkár részére) ált.tart.</t>
  </si>
  <si>
    <t>Samsung Galaxy mobiltelefon (titkár részére)</t>
  </si>
  <si>
    <t>129/2021</t>
  </si>
  <si>
    <t>Klímaberendezés (BBK, Geróts) fejl.tart.</t>
  </si>
  <si>
    <t>Klímaberendezés (BBK, Geróts)</t>
  </si>
  <si>
    <t>131/2021</t>
  </si>
  <si>
    <t>Ovi tetőszigetelése, felújítása fejl.tart.</t>
  </si>
  <si>
    <t>132/2021</t>
  </si>
  <si>
    <t>Vázrajz készítése 1077/6 hrsz fejl.tart.</t>
  </si>
  <si>
    <t>134/2021</t>
  </si>
  <si>
    <t>Piac kültéri asztalok beszerzése fejl.tart.</t>
  </si>
  <si>
    <t>Piac kültéri asztalok beszerzése</t>
  </si>
  <si>
    <t>135/2021</t>
  </si>
  <si>
    <t>Geodéziai munkálatok 1241/2, 1247, 1248 hrsz. Fejl.tart.</t>
  </si>
  <si>
    <t>137/2021</t>
  </si>
  <si>
    <t>Biztosító által fizetett kártérítés fejl.tart helyezése</t>
  </si>
  <si>
    <t>Biztosítók által fizetett kártérítés</t>
  </si>
  <si>
    <t>B410</t>
  </si>
  <si>
    <t>Óvodamúzeum terasz szigetelés, javítás, bizt.káresemény fejl.tart.</t>
  </si>
  <si>
    <t>138/2021</t>
  </si>
  <si>
    <t>086030-Nemzetközi kapcsolatok és kiemelt rendezvények</t>
  </si>
  <si>
    <t>139/2021</t>
  </si>
  <si>
    <t>Telekhatár rendezések Ráckeresztúr 079/4, 079/5 hrsz. Fejl.tart.</t>
  </si>
  <si>
    <t>140/2021</t>
  </si>
  <si>
    <t>VÜ telephely kialakítási terv módosítása (800M) fejl.tart.</t>
  </si>
  <si>
    <t>141/2021</t>
  </si>
  <si>
    <t>15 db közvilágítási lámpatest beszerzése(fejl.konc.) fejl.tart.</t>
  </si>
  <si>
    <t>142/2021</t>
  </si>
  <si>
    <t>143/2021</t>
  </si>
  <si>
    <t>BBK riasztórendszer telepítése fejl.tart.</t>
  </si>
  <si>
    <t>BBK riasztórendszer telepítése</t>
  </si>
  <si>
    <t>144/2021</t>
  </si>
  <si>
    <t>Brunszvik Teréz Óvoda ablakok árnyékolása</t>
  </si>
  <si>
    <t>145/2021</t>
  </si>
  <si>
    <t>MV 1241/2 hrsz épület feltüntetése, földhiv.elj. Fejl.tart.</t>
  </si>
  <si>
    <t>146/2021</t>
  </si>
  <si>
    <t>147/2021</t>
  </si>
  <si>
    <t>Értékbecslés 182/2, 1715/15, 1715/16, 0119 hrsz. Fejl.tart.</t>
  </si>
  <si>
    <t>148/2021</t>
  </si>
  <si>
    <t>Világítási oszlopok (Széchenyi híd, Mirrotron út) fejl.tart.</t>
  </si>
  <si>
    <t>149/2021</t>
  </si>
  <si>
    <t>PCR és antigén tesztek díja VH tart.</t>
  </si>
  <si>
    <r>
      <rPr>
        <sz val="10"/>
        <color rgb="FFFF0000"/>
        <rFont val="Times New Roman"/>
        <family val="1"/>
        <charset val="238"/>
      </rPr>
      <t>BGA</t>
    </r>
    <r>
      <rPr>
        <sz val="10"/>
        <color theme="1"/>
        <rFont val="Times New Roman"/>
        <family val="1"/>
        <charset val="238"/>
      </rPr>
      <t xml:space="preserve"> p.tartból ásványvíz vás. Ei átcsop. Fejl.tart</t>
    </r>
  </si>
  <si>
    <r>
      <rPr>
        <sz val="10"/>
        <color rgb="FFFF0000"/>
        <rFont val="Times New Roman"/>
        <family val="1"/>
        <charset val="238"/>
      </rPr>
      <t>BGA</t>
    </r>
    <r>
      <rPr>
        <sz val="10"/>
        <color theme="1"/>
        <rFont val="Times New Roman"/>
        <family val="1"/>
        <charset val="238"/>
      </rPr>
      <t xml:space="preserve"> tartból Mezőkölpénybe szállításra fejl tart</t>
    </r>
  </si>
  <si>
    <t>Brunszvik Teréz Óvoda ablakok árnyékolása fejl tart</t>
  </si>
  <si>
    <r>
      <rPr>
        <sz val="10"/>
        <color rgb="FFFF0000"/>
        <rFont val="Times New Roman"/>
        <family val="1"/>
        <charset val="238"/>
      </rPr>
      <t>BGA</t>
    </r>
    <r>
      <rPr>
        <sz val="10"/>
        <color theme="1"/>
        <rFont val="Times New Roman"/>
        <family val="1"/>
        <charset val="238"/>
      </rPr>
      <t xml:space="preserve"> tart. Felhasználása Mezőkölpényi tánctábor táncműv.étk. Fejl tart</t>
    </r>
  </si>
  <si>
    <t>150/2021</t>
  </si>
  <si>
    <t>Brunszvik kert, Brunszvik-Dreher sétány áram, víz használat/fejl.tart.</t>
  </si>
  <si>
    <t>Brunszvik kert, Brunszvik sétány közüzemi díja ált.tart.</t>
  </si>
  <si>
    <t>151/2021</t>
  </si>
  <si>
    <t>Ózonos fertőtlenítő gép kölcsönzése VH tart.</t>
  </si>
  <si>
    <t>152/2021</t>
  </si>
  <si>
    <t>Visszatér.tám. Nyújtása (Sajtmustra) ált.tart.</t>
  </si>
  <si>
    <t>153/2021</t>
  </si>
  <si>
    <t>Emlékezés tere 4. (1074.hrsz) áram ideiglenes bekapcsolása fejl tart</t>
  </si>
  <si>
    <t>154/2021</t>
  </si>
  <si>
    <t>Hibás HDD cseréje BBK (rendszámtábla olvasó kamera)</t>
  </si>
  <si>
    <t>155/2021</t>
  </si>
  <si>
    <t>MTA-tól ivóvíz-kút megvásárlása előkészítéséhez vízvizsgálata</t>
  </si>
  <si>
    <t>156/2021</t>
  </si>
  <si>
    <t>Tűzoltószertár építési engedély igazgatási szolg díj fejl tart</t>
  </si>
  <si>
    <t>157/2021</t>
  </si>
  <si>
    <t>BBK kamerarendszerhez tartozó eszközök felszerelése fejl.tart.</t>
  </si>
  <si>
    <t xml:space="preserve">BBK kamerarendszerhez tartozó eszközök felszerelése </t>
  </si>
  <si>
    <t>158/2021</t>
  </si>
  <si>
    <t>Ingatlan vásárlás 285 hrsz. 147 m2 ált.tart.</t>
  </si>
  <si>
    <t>Ingatlan vásárlás 285 hrsz. 147 m2</t>
  </si>
  <si>
    <t>159/2021</t>
  </si>
  <si>
    <t>Martonvásár, 1241/2 hrsz. Ingatlanon található föld, növényzet és építési hulladék elszállítása fejl.tart.</t>
  </si>
  <si>
    <t>160/2021</t>
  </si>
  <si>
    <t>Könyvtár hőmennyiség mérő beépítése fejl tart</t>
  </si>
  <si>
    <t>Könyvtár hőmennyiségmérő beépítése</t>
  </si>
  <si>
    <t>161/2021</t>
  </si>
  <si>
    <t>BBK riasztórendszer pótmunka fejl tart</t>
  </si>
  <si>
    <t>BBK riasztórendszer pótmunka</t>
  </si>
  <si>
    <t>165/2021</t>
  </si>
  <si>
    <t>HÉSZ tárgyalásos módosítása (munkaközi tervdokumentáció)</t>
  </si>
  <si>
    <t>166/2021</t>
  </si>
  <si>
    <t>Iskolai háttámlás öltözőpad fejl tart</t>
  </si>
  <si>
    <t>Iskolai háttámlás öltözőpad</t>
  </si>
  <si>
    <t>168/2021</t>
  </si>
  <si>
    <t>NMI támogatás (Fülesbagoly, Galéria Projekt, Tök Jó Hét)</t>
  </si>
  <si>
    <t xml:space="preserve">NMI támogatás (Fülesbagoly,Galéria Projekt, Tök Jó Hét) </t>
  </si>
  <si>
    <t>169/2021</t>
  </si>
  <si>
    <t>Trilla - Nép dal ünnep kiadása (ált.tart, Nép-Dal tart)</t>
  </si>
  <si>
    <t>170/2021</t>
  </si>
  <si>
    <t>Óvodavezető kinevezése alapján többlet finanszírozás ált tart</t>
  </si>
  <si>
    <t>171/2021</t>
  </si>
  <si>
    <t>Közvilágítás: Széchenyi és Mirrotron út - kábel és kiegészítők</t>
  </si>
  <si>
    <t>172/2021</t>
  </si>
  <si>
    <t>Kabinettitkár alkalmazási díja</t>
  </si>
  <si>
    <t>173/2021</t>
  </si>
  <si>
    <t>Májusi normatíva módosítás</t>
  </si>
  <si>
    <t>174/2021</t>
  </si>
  <si>
    <t>Orvosi ügyeleti szerződés emelés díja</t>
  </si>
  <si>
    <t>175/2021</t>
  </si>
  <si>
    <t xml:space="preserve">TOP-2.1.2. Zöld város nyilvánosság bizt. </t>
  </si>
  <si>
    <t>176/2021</t>
  </si>
  <si>
    <t>TSZ ház lift karbantartásra</t>
  </si>
  <si>
    <t>177/2021</t>
  </si>
  <si>
    <t>TOP Plusz pályázatokhoz szakmai megalapozó tanulmányok</t>
  </si>
  <si>
    <t>178/2021</t>
  </si>
  <si>
    <t>Megbízási díj időjárás előrejelzés</t>
  </si>
  <si>
    <t>179/2021</t>
  </si>
  <si>
    <t>Közilágítás: Széchenyi és Mirrotron út megvilágítás mérése</t>
  </si>
  <si>
    <t>180/2021</t>
  </si>
  <si>
    <t>MikroTik adatátviteli eszköz cseréje - meghibásodott kamerapontnál</t>
  </si>
  <si>
    <t>181/2021</t>
  </si>
  <si>
    <t>2022-2036. évi GFT eljárási díjak</t>
  </si>
  <si>
    <t>187/2021</t>
  </si>
  <si>
    <t>Térségi Szolgáltatóház (emeleti kisiroda) irodabútor beszerzés</t>
  </si>
  <si>
    <t>Térségi Szolgáltatóház (emeleti kisiroda) irodabútor beszerzése</t>
  </si>
  <si>
    <t>194/2021</t>
  </si>
  <si>
    <t>EFOP 4.1.9. tám.előleg visszafiz.</t>
  </si>
  <si>
    <t>EFOP 4.1.9 (Múzeum)</t>
  </si>
  <si>
    <t>Anyakönyvvezetők díjára  ei.lépzés</t>
  </si>
  <si>
    <t>Közvetített szolgáltatásból ei.képzése kiadások fedezetére</t>
  </si>
  <si>
    <t>Vezetői bérkülönbözetre finanszírozás</t>
  </si>
  <si>
    <t>15 db közvilágítási lámpatest, oszlopok, kábelek beszerzése</t>
  </si>
  <si>
    <t>VÜ telephely vízbekötése, tűzcsap telepítése</t>
  </si>
  <si>
    <t>133/2021</t>
  </si>
  <si>
    <t>Könyvtári könyv beszerzés ei.mód szakmai anyagról beruh</t>
  </si>
  <si>
    <t>167/2021</t>
  </si>
  <si>
    <t>Továbbszámlázott szolgáltatás bevétel, kiadás emelése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</si>
</sst>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\ &quot;Ft&quot;"/>
  </numFmts>
  <fonts count="8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508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4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0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3" fontId="34" fillId="0" borderId="40" xfId="0" applyNumberFormat="1" applyFont="1" applyBorder="1" applyAlignment="1">
      <alignment vertical="center"/>
    </xf>
    <xf numFmtId="3" fontId="34" fillId="4" borderId="33" xfId="0" applyNumberFormat="1" applyFont="1" applyFill="1" applyBorder="1" applyAlignment="1">
      <alignment horizontal="center" vertic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8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166" fontId="34" fillId="4" borderId="3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0" fontId="3" fillId="0" borderId="1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40" xfId="0" applyFont="1" applyFill="1" applyBorder="1"/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5" xfId="50" applyFont="1" applyBorder="1" applyAlignment="1">
      <alignment horizontal="center" vertical="center" wrapText="1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0" fontId="5" fillId="0" borderId="0" xfId="43" applyFont="1" applyFill="1"/>
    <xf numFmtId="0" fontId="5" fillId="0" borderId="0" xfId="43" applyFont="1"/>
    <xf numFmtId="0" fontId="73" fillId="0" borderId="0" xfId="43" applyFont="1"/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3" fillId="33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>
      <alignment wrapText="1"/>
    </xf>
    <xf numFmtId="3" fontId="5" fillId="0" borderId="1" xfId="43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0" fontId="3" fillId="0" borderId="20" xfId="43" applyFont="1" applyBorder="1"/>
    <xf numFmtId="0" fontId="3" fillId="0" borderId="21" xfId="43" applyFont="1" applyBorder="1"/>
    <xf numFmtId="3" fontId="3" fillId="0" borderId="21" xfId="43" applyNumberFormat="1" applyFont="1" applyFill="1" applyBorder="1" applyAlignment="1">
      <alignment horizontal="right"/>
    </xf>
    <xf numFmtId="0" fontId="3" fillId="0" borderId="0" xfId="43" applyFont="1"/>
    <xf numFmtId="167" fontId="5" fillId="0" borderId="0" xfId="98" applyNumberFormat="1" applyFont="1"/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5" fillId="0" borderId="1" xfId="43" applyNumberFormat="1" applyFont="1" applyFill="1" applyBorder="1"/>
    <xf numFmtId="0" fontId="5" fillId="0" borderId="20" xfId="43" applyFont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49" fontId="3" fillId="0" borderId="38" xfId="43" applyNumberFormat="1" applyFont="1" applyBorder="1"/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73" fillId="0" borderId="1" xfId="43" applyFont="1" applyBorder="1" applyAlignment="1">
      <alignment horizontal="center" vertical="center" wrapText="1"/>
    </xf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0" fontId="3" fillId="0" borderId="8" xfId="1" applyFont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0" fontId="2" fillId="0" borderId="31" xfId="1" applyFont="1" applyFill="1" applyBorder="1" applyAlignment="1">
      <alignment horizontal="right" vertical="center"/>
    </xf>
    <xf numFmtId="0" fontId="6" fillId="0" borderId="48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right" vertical="center"/>
    </xf>
    <xf numFmtId="0" fontId="2" fillId="0" borderId="82" xfId="1" applyFont="1" applyFill="1" applyBorder="1" applyAlignment="1">
      <alignment horizontal="right" vertical="center"/>
    </xf>
    <xf numFmtId="0" fontId="2" fillId="0" borderId="99" xfId="1" applyFont="1" applyFill="1" applyBorder="1" applyAlignment="1">
      <alignment horizontal="righ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3" fontId="30" fillId="0" borderId="8" xfId="0" applyNumberFormat="1" applyFont="1" applyFill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3" fontId="5" fillId="0" borderId="0" xfId="43" applyNumberFormat="1" applyFont="1"/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0" fontId="3" fillId="0" borderId="23" xfId="42" applyFont="1" applyBorder="1" applyAlignment="1">
      <alignment vertical="center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 applyProtection="1">
      <alignment wrapText="1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Border="1" applyAlignment="1">
      <alignment horizontal="right" wrapText="1"/>
    </xf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3" fontId="3" fillId="0" borderId="62" xfId="50" applyNumberFormat="1" applyFont="1" applyBorder="1"/>
    <xf numFmtId="3" fontId="13" fillId="0" borderId="6" xfId="0" applyNumberFormat="1" applyFont="1" applyFill="1" applyBorder="1" applyAlignment="1" applyProtection="1">
      <alignment horizontal="right"/>
    </xf>
    <xf numFmtId="3" fontId="4" fillId="0" borderId="8" xfId="42" applyNumberFormat="1" applyFont="1" applyFill="1" applyBorder="1"/>
    <xf numFmtId="3" fontId="5" fillId="0" borderId="24" xfId="42" applyNumberFormat="1" applyFont="1" applyFill="1" applyBorder="1"/>
    <xf numFmtId="0" fontId="5" fillId="0" borderId="82" xfId="50" applyFont="1" applyBorder="1"/>
    <xf numFmtId="3" fontId="3" fillId="0" borderId="61" xfId="50" applyNumberFormat="1" applyFont="1" applyBorder="1"/>
    <xf numFmtId="0" fontId="5" fillId="0" borderId="40" xfId="50" applyFont="1" applyFill="1" applyBorder="1"/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167" fontId="30" fillId="0" borderId="2" xfId="98" applyNumberFormat="1" applyFont="1" applyBorder="1"/>
    <xf numFmtId="3" fontId="30" fillId="0" borderId="25" xfId="0" applyNumberFormat="1" applyFont="1" applyBorder="1"/>
    <xf numFmtId="3" fontId="29" fillId="0" borderId="47" xfId="0" applyNumberFormat="1" applyFont="1" applyBorder="1"/>
    <xf numFmtId="49" fontId="30" fillId="0" borderId="18" xfId="0" applyNumberFormat="1" applyFont="1" applyBorder="1" applyAlignment="1">
      <alignment vertical="center" wrapText="1"/>
    </xf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8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31" borderId="1" xfId="0" applyFont="1" applyFill="1" applyBorder="1"/>
    <xf numFmtId="0" fontId="34" fillId="0" borderId="1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1" fontId="36" fillId="0" borderId="1" xfId="0" applyNumberFormat="1" applyFont="1" applyFill="1" applyBorder="1"/>
    <xf numFmtId="0" fontId="36" fillId="0" borderId="11" xfId="0" applyFont="1" applyFill="1" applyBorder="1"/>
    <xf numFmtId="0" fontId="5" fillId="0" borderId="1" xfId="0" applyFont="1" applyFill="1" applyBorder="1"/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6" fillId="0" borderId="6" xfId="0" applyFont="1" applyFill="1" applyBorder="1"/>
    <xf numFmtId="0" fontId="36" fillId="0" borderId="9" xfId="0" applyFont="1" applyFill="1" applyBorder="1"/>
    <xf numFmtId="0" fontId="36" fillId="0" borderId="10" xfId="0" applyFont="1" applyFill="1" applyBorder="1"/>
    <xf numFmtId="3" fontId="36" fillId="0" borderId="0" xfId="0" applyNumberFormat="1" applyFont="1" applyFill="1"/>
    <xf numFmtId="3" fontId="76" fillId="0" borderId="0" xfId="0" applyNumberFormat="1" applyFont="1" applyFill="1"/>
    <xf numFmtId="0" fontId="79" fillId="0" borderId="6" xfId="0" applyFont="1" applyFill="1" applyBorder="1" applyAlignment="1">
      <alignment horizontal="right"/>
    </xf>
    <xf numFmtId="0" fontId="79" fillId="0" borderId="6" xfId="0" applyFont="1" applyFill="1" applyBorder="1" applyAlignment="1">
      <alignment horizontal="left"/>
    </xf>
    <xf numFmtId="0" fontId="79" fillId="0" borderId="6" xfId="0" applyFont="1" applyFill="1" applyBorder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1" fontId="3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/>
    <xf numFmtId="0" fontId="3" fillId="0" borderId="13" xfId="0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3" fontId="3" fillId="0" borderId="1" xfId="43" applyNumberFormat="1" applyFont="1" applyFill="1" applyBorder="1" applyAlignment="1">
      <alignment vertical="center"/>
    </xf>
    <xf numFmtId="0" fontId="5" fillId="0" borderId="1" xfId="43" applyFont="1" applyFill="1" applyBorder="1"/>
    <xf numFmtId="0" fontId="6" fillId="0" borderId="49" xfId="1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67" fontId="5" fillId="31" borderId="1" xfId="98" applyNumberFormat="1" applyFont="1" applyFill="1" applyBorder="1" applyAlignment="1">
      <alignment vertical="center"/>
    </xf>
    <xf numFmtId="3" fontId="5" fillId="0" borderId="8" xfId="42" applyNumberFormat="1" applyFont="1" applyBorder="1"/>
    <xf numFmtId="3" fontId="5" fillId="0" borderId="8" xfId="42" applyNumberFormat="1" applyFont="1" applyFill="1" applyBorder="1"/>
    <xf numFmtId="3" fontId="3" fillId="0" borderId="5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vertical="center" wrapText="1"/>
    </xf>
    <xf numFmtId="1" fontId="36" fillId="0" borderId="8" xfId="0" applyNumberFormat="1" applyFont="1" applyFill="1" applyBorder="1"/>
    <xf numFmtId="0" fontId="34" fillId="31" borderId="1" xfId="0" applyFont="1" applyFill="1" applyBorder="1"/>
    <xf numFmtId="1" fontId="36" fillId="0" borderId="11" xfId="0" applyNumberFormat="1" applyFont="1" applyFill="1" applyBorder="1"/>
    <xf numFmtId="1" fontId="36" fillId="31" borderId="1" xfId="0" applyNumberFormat="1" applyFont="1" applyFill="1" applyBorder="1"/>
    <xf numFmtId="1" fontId="34" fillId="0" borderId="11" xfId="0" applyNumberFormat="1" applyFont="1" applyFill="1" applyBorder="1"/>
    <xf numFmtId="1" fontId="36" fillId="0" borderId="6" xfId="0" applyNumberFormat="1" applyFont="1" applyFill="1" applyBorder="1"/>
    <xf numFmtId="1" fontId="36" fillId="0" borderId="9" xfId="0" applyNumberFormat="1" applyFont="1" applyFill="1" applyBorder="1"/>
    <xf numFmtId="1" fontId="34" fillId="0" borderId="13" xfId="98" applyNumberFormat="1" applyFont="1" applyFill="1" applyBorder="1" applyAlignment="1">
      <alignment horizontal="right" vertical="center"/>
    </xf>
    <xf numFmtId="0" fontId="30" fillId="0" borderId="1" xfId="0" applyFont="1" applyFill="1" applyBorder="1"/>
    <xf numFmtId="0" fontId="30" fillId="0" borderId="40" xfId="0" applyFont="1" applyFill="1" applyBorder="1"/>
    <xf numFmtId="0" fontId="5" fillId="0" borderId="40" xfId="0" applyFont="1" applyFill="1" applyBorder="1"/>
    <xf numFmtId="0" fontId="5" fillId="0" borderId="8" xfId="0" applyFont="1" applyFill="1" applyBorder="1" applyAlignment="1">
      <alignment vertical="center" wrapText="1"/>
    </xf>
    <xf numFmtId="49" fontId="5" fillId="0" borderId="8" xfId="43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3" fillId="0" borderId="16" xfId="50" applyFont="1" applyBorder="1" applyAlignment="1">
      <alignment horizontal="center" wrapText="1"/>
    </xf>
    <xf numFmtId="0" fontId="3" fillId="0" borderId="36" xfId="50" applyFont="1" applyBorder="1" applyAlignment="1">
      <alignment horizontal="center" wrapText="1"/>
    </xf>
    <xf numFmtId="0" fontId="3" fillId="0" borderId="62" xfId="50" applyFont="1" applyBorder="1" applyAlignment="1">
      <alignment horizontal="center" wrapText="1"/>
    </xf>
    <xf numFmtId="0" fontId="30" fillId="0" borderId="16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82" fillId="0" borderId="0" xfId="43" applyFont="1"/>
    <xf numFmtId="0" fontId="82" fillId="0" borderId="1" xfId="43" applyFont="1" applyBorder="1" applyAlignment="1">
      <alignment horizontal="center" vertical="center" wrapText="1"/>
    </xf>
    <xf numFmtId="0" fontId="30" fillId="0" borderId="0" xfId="0" applyFont="1" applyFill="1" applyBorder="1" applyAlignment="1"/>
    <xf numFmtId="3" fontId="29" fillId="0" borderId="8" xfId="0" applyNumberFormat="1" applyFont="1" applyFill="1" applyBorder="1"/>
    <xf numFmtId="3" fontId="29" fillId="0" borderId="1" xfId="98" applyNumberFormat="1" applyFont="1" applyFill="1" applyBorder="1" applyAlignment="1">
      <alignment wrapText="1"/>
    </xf>
    <xf numFmtId="3" fontId="5" fillId="0" borderId="1" xfId="1" applyNumberFormat="1" applyFont="1" applyFill="1" applyBorder="1"/>
    <xf numFmtId="0" fontId="31" fillId="0" borderId="3" xfId="0" applyFont="1" applyFill="1" applyBorder="1" applyAlignment="1">
      <alignment horizontal="left"/>
    </xf>
    <xf numFmtId="3" fontId="29" fillId="0" borderId="2" xfId="0" applyNumberFormat="1" applyFont="1" applyFill="1" applyBorder="1"/>
    <xf numFmtId="0" fontId="2" fillId="0" borderId="8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 wrapText="1"/>
    </xf>
    <xf numFmtId="3" fontId="30" fillId="0" borderId="21" xfId="0" applyNumberFormat="1" applyFont="1" applyBorder="1"/>
    <xf numFmtId="0" fontId="30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23" xfId="43" applyFont="1" applyFill="1" applyBorder="1" applyAlignment="1">
      <alignment vertical="center"/>
    </xf>
    <xf numFmtId="49" fontId="5" fillId="0" borderId="9" xfId="43" applyNumberFormat="1" applyFont="1" applyFill="1" applyBorder="1" applyAlignment="1">
      <alignment vertical="center"/>
    </xf>
    <xf numFmtId="0" fontId="30" fillId="21" borderId="2" xfId="0" applyFont="1" applyFill="1" applyBorder="1" applyAlignment="1" applyProtection="1"/>
    <xf numFmtId="3" fontId="5" fillId="0" borderId="2" xfId="43" applyNumberFormat="1" applyFont="1" applyBorder="1" applyAlignment="1">
      <alignment horizontal="right"/>
    </xf>
    <xf numFmtId="3" fontId="5" fillId="0" borderId="2" xfId="43" applyNumberFormat="1" applyFont="1" applyFill="1" applyBorder="1" applyAlignment="1">
      <alignment horizontal="right"/>
    </xf>
    <xf numFmtId="167" fontId="5" fillId="0" borderId="2" xfId="98" applyNumberFormat="1" applyFont="1" applyBorder="1" applyAlignment="1">
      <alignment horizontal="right"/>
    </xf>
    <xf numFmtId="168" fontId="5" fillId="0" borderId="1" xfId="98" applyNumberFormat="1" applyFont="1" applyFill="1" applyBorder="1" applyAlignment="1">
      <alignment wrapText="1"/>
    </xf>
    <xf numFmtId="0" fontId="5" fillId="0" borderId="18" xfId="43" applyFont="1" applyBorder="1" applyAlignment="1">
      <alignment vertical="center"/>
    </xf>
    <xf numFmtId="0" fontId="73" fillId="0" borderId="1" xfId="43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5" fillId="0" borderId="18" xfId="50" applyFont="1" applyFill="1" applyBorder="1"/>
    <xf numFmtId="0" fontId="5" fillId="0" borderId="0" xfId="50" applyFont="1" applyFill="1"/>
    <xf numFmtId="0" fontId="0" fillId="0" borderId="1" xfId="0" applyBorder="1"/>
    <xf numFmtId="3" fontId="3" fillId="0" borderId="21" xfId="43" applyNumberFormat="1" applyFont="1" applyBorder="1" applyAlignment="1">
      <alignment horizontal="right"/>
    </xf>
    <xf numFmtId="3" fontId="29" fillId="0" borderId="38" xfId="98" applyNumberFormat="1" applyFont="1" applyFill="1" applyBorder="1"/>
    <xf numFmtId="3" fontId="29" fillId="0" borderId="21" xfId="98" applyNumberFormat="1" applyFont="1" applyFill="1" applyBorder="1"/>
    <xf numFmtId="3" fontId="29" fillId="0" borderId="22" xfId="98" applyNumberFormat="1" applyFont="1" applyFill="1" applyBorder="1"/>
    <xf numFmtId="0" fontId="3" fillId="0" borderId="1" xfId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64" fillId="0" borderId="37" xfId="42" applyFont="1" applyFill="1" applyBorder="1" applyAlignment="1">
      <alignment horizontal="right"/>
    </xf>
    <xf numFmtId="0" fontId="4" fillId="0" borderId="22" xfId="42" applyFont="1" applyFill="1" applyBorder="1"/>
    <xf numFmtId="0" fontId="3" fillId="0" borderId="17" xfId="50" applyFont="1" applyFill="1" applyBorder="1" applyAlignment="1">
      <alignment horizontal="center" wrapText="1"/>
    </xf>
    <xf numFmtId="3" fontId="5" fillId="0" borderId="19" xfId="42" applyNumberFormat="1" applyFont="1" applyFill="1" applyBorder="1"/>
    <xf numFmtId="3" fontId="3" fillId="0" borderId="19" xfId="42" applyNumberFormat="1" applyFont="1" applyFill="1" applyBorder="1"/>
    <xf numFmtId="3" fontId="2" fillId="0" borderId="24" xfId="42" applyNumberFormat="1" applyFont="1" applyFill="1" applyBorder="1"/>
    <xf numFmtId="3" fontId="3" fillId="0" borderId="22" xfId="42" applyNumberFormat="1" applyFont="1" applyFill="1" applyBorder="1"/>
    <xf numFmtId="3" fontId="2" fillId="0" borderId="0" xfId="42" applyNumberFormat="1" applyFont="1" applyFill="1" applyBorder="1"/>
    <xf numFmtId="3" fontId="4" fillId="0" borderId="0" xfId="42" applyNumberFormat="1" applyFont="1" applyFill="1"/>
    <xf numFmtId="3" fontId="4" fillId="0" borderId="19" xfId="42" applyNumberFormat="1" applyFont="1" applyFill="1" applyBorder="1"/>
    <xf numFmtId="3" fontId="2" fillId="0" borderId="53" xfId="42" applyNumberFormat="1" applyFont="1" applyFill="1" applyBorder="1"/>
    <xf numFmtId="3" fontId="4" fillId="0" borderId="0" xfId="42" applyNumberFormat="1" applyFont="1" applyFill="1" applyBorder="1"/>
    <xf numFmtId="0" fontId="2" fillId="0" borderId="97" xfId="42" applyFont="1" applyFill="1" applyBorder="1" applyAlignment="1">
      <alignment horizontal="center"/>
    </xf>
    <xf numFmtId="3" fontId="4" fillId="0" borderId="19" xfId="42" applyNumberFormat="1" applyFont="1" applyFill="1" applyBorder="1" applyAlignment="1">
      <alignment horizontal="right"/>
    </xf>
    <xf numFmtId="3" fontId="2" fillId="0" borderId="9" xfId="42" applyNumberFormat="1" applyFont="1" applyFill="1" applyBorder="1" applyAlignment="1">
      <alignment horizontal="right"/>
    </xf>
    <xf numFmtId="3" fontId="3" fillId="0" borderId="24" xfId="42" applyNumberFormat="1" applyFont="1" applyFill="1" applyBorder="1"/>
    <xf numFmtId="3" fontId="4" fillId="0" borderId="24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0" fontId="4" fillId="0" borderId="0" xfId="42" applyFont="1" applyFill="1"/>
    <xf numFmtId="3" fontId="2" fillId="0" borderId="53" xfId="42" applyNumberFormat="1" applyFont="1" applyFill="1" applyBorder="1" applyAlignment="1">
      <alignment horizontal="right"/>
    </xf>
    <xf numFmtId="0" fontId="64" fillId="0" borderId="0" xfId="42" applyFont="1" applyFill="1"/>
    <xf numFmtId="0" fontId="3" fillId="0" borderId="30" xfId="50" applyFont="1" applyFill="1" applyBorder="1" applyAlignment="1">
      <alignment horizontal="center" wrapText="1"/>
    </xf>
    <xf numFmtId="3" fontId="3" fillId="0" borderId="38" xfId="50" applyNumberFormat="1" applyFont="1" applyFill="1" applyBorder="1"/>
    <xf numFmtId="3" fontId="5" fillId="0" borderId="16" xfId="50" applyNumberFormat="1" applyFont="1" applyFill="1" applyBorder="1"/>
    <xf numFmtId="3" fontId="5" fillId="0" borderId="2" xfId="50" applyNumberFormat="1" applyFont="1" applyFill="1" applyBorder="1"/>
    <xf numFmtId="3" fontId="3" fillId="0" borderId="21" xfId="50" applyNumberFormat="1" applyFont="1" applyFill="1" applyBorder="1"/>
    <xf numFmtId="0" fontId="5" fillId="0" borderId="0" xfId="50" applyFont="1" applyFill="1" applyBorder="1" applyAlignment="1">
      <alignment horizontal="right"/>
    </xf>
    <xf numFmtId="3" fontId="5" fillId="0" borderId="19" xfId="50" applyNumberFormat="1" applyFont="1" applyFill="1" applyBorder="1"/>
    <xf numFmtId="3" fontId="3" fillId="0" borderId="19" xfId="50" applyNumberFormat="1" applyFont="1" applyFill="1" applyBorder="1"/>
    <xf numFmtId="3" fontId="3" fillId="0" borderId="22" xfId="50" applyNumberFormat="1" applyFont="1" applyFill="1" applyBorder="1"/>
    <xf numFmtId="3" fontId="5" fillId="0" borderId="0" xfId="50" applyNumberFormat="1" applyFont="1" applyFill="1"/>
    <xf numFmtId="167" fontId="30" fillId="0" borderId="1" xfId="0" applyNumberFormat="1" applyFont="1" applyFill="1" applyBorder="1"/>
    <xf numFmtId="167" fontId="29" fillId="0" borderId="1" xfId="0" applyNumberFormat="1" applyFont="1" applyFill="1" applyBorder="1"/>
    <xf numFmtId="167" fontId="29" fillId="0" borderId="2" xfId="98" applyNumberFormat="1" applyFont="1" applyFill="1" applyBorder="1" applyAlignment="1">
      <alignment horizontal="right"/>
    </xf>
    <xf numFmtId="0" fontId="30" fillId="0" borderId="8" xfId="0" applyFont="1" applyFill="1" applyBorder="1"/>
    <xf numFmtId="0" fontId="30" fillId="0" borderId="36" xfId="0" applyFont="1" applyFill="1" applyBorder="1"/>
    <xf numFmtId="167" fontId="30" fillId="0" borderId="5" xfId="0" applyNumberFormat="1" applyFont="1" applyFill="1" applyBorder="1"/>
    <xf numFmtId="167" fontId="29" fillId="0" borderId="1" xfId="98" applyNumberFormat="1" applyFont="1" applyFill="1" applyBorder="1"/>
    <xf numFmtId="167" fontId="29" fillId="0" borderId="2" xfId="98" applyNumberFormat="1" applyFont="1" applyFill="1" applyBorder="1"/>
    <xf numFmtId="0" fontId="29" fillId="0" borderId="2" xfId="0" applyFont="1" applyFill="1" applyBorder="1"/>
    <xf numFmtId="0" fontId="30" fillId="0" borderId="5" xfId="0" applyFont="1" applyFill="1" applyBorder="1"/>
    <xf numFmtId="0" fontId="30" fillId="0" borderId="9" xfId="0" applyFont="1" applyFill="1" applyBorder="1"/>
    <xf numFmtId="3" fontId="29" fillId="0" borderId="13" xfId="0" applyNumberFormat="1" applyFont="1" applyFill="1" applyBorder="1"/>
    <xf numFmtId="0" fontId="3" fillId="0" borderId="19" xfId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/>
    <xf numFmtId="3" fontId="29" fillId="0" borderId="26" xfId="0" applyNumberFormat="1" applyFont="1" applyFill="1" applyBorder="1"/>
    <xf numFmtId="3" fontId="29" fillId="0" borderId="22" xfId="0" applyNumberFormat="1" applyFont="1" applyFill="1" applyBorder="1"/>
    <xf numFmtId="0" fontId="3" fillId="0" borderId="18" xfId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/>
    <xf numFmtId="3" fontId="30" fillId="0" borderId="58" xfId="0" applyNumberFormat="1" applyFont="1" applyFill="1" applyBorder="1"/>
    <xf numFmtId="3" fontId="30" fillId="0" borderId="18" xfId="0" applyNumberFormat="1" applyFont="1" applyFill="1" applyBorder="1"/>
    <xf numFmtId="3" fontId="29" fillId="0" borderId="47" xfId="0" applyNumberFormat="1" applyFont="1" applyFill="1" applyBorder="1"/>
    <xf numFmtId="3" fontId="30" fillId="0" borderId="25" xfId="0" applyNumberFormat="1" applyFont="1" applyFill="1" applyBorder="1"/>
    <xf numFmtId="3" fontId="29" fillId="0" borderId="18" xfId="0" applyNumberFormat="1" applyFont="1" applyFill="1" applyBorder="1"/>
    <xf numFmtId="0" fontId="30" fillId="0" borderId="58" xfId="0" applyFont="1" applyFill="1" applyBorder="1"/>
    <xf numFmtId="3" fontId="29" fillId="0" borderId="32" xfId="0" applyNumberFormat="1" applyFont="1" applyFill="1" applyBorder="1"/>
    <xf numFmtId="0" fontId="30" fillId="0" borderId="0" xfId="0" applyFont="1" applyFill="1" applyBorder="1" applyAlignment="1">
      <alignment horizontal="left"/>
    </xf>
    <xf numFmtId="0" fontId="3" fillId="0" borderId="8" xfId="1" applyFont="1" applyFill="1" applyBorder="1" applyAlignment="1">
      <alignment horizontal="center" vertical="center" wrapText="1"/>
    </xf>
    <xf numFmtId="3" fontId="3" fillId="0" borderId="8" xfId="1" applyNumberFormat="1" applyFont="1" applyFill="1" applyBorder="1"/>
    <xf numFmtId="3" fontId="3" fillId="0" borderId="1" xfId="1" applyNumberFormat="1" applyFont="1" applyFill="1" applyBorder="1"/>
    <xf numFmtId="3" fontId="3" fillId="0" borderId="19" xfId="1" applyNumberFormat="1" applyFont="1" applyFill="1" applyBorder="1"/>
    <xf numFmtId="3" fontId="3" fillId="0" borderId="0" xfId="1" applyNumberFormat="1" applyFont="1" applyFill="1" applyBorder="1"/>
    <xf numFmtId="3" fontId="3" fillId="0" borderId="26" xfId="1" applyNumberFormat="1" applyFont="1" applyFill="1" applyBorder="1"/>
    <xf numFmtId="3" fontId="30" fillId="0" borderId="4" xfId="0" applyNumberFormat="1" applyFont="1" applyFill="1" applyBorder="1"/>
    <xf numFmtId="3" fontId="30" fillId="0" borderId="5" xfId="0" applyNumberFormat="1" applyFont="1" applyFill="1" applyBorder="1"/>
    <xf numFmtId="3" fontId="76" fillId="0" borderId="1" xfId="0" applyNumberFormat="1" applyFont="1" applyFill="1" applyBorder="1"/>
    <xf numFmtId="3" fontId="5" fillId="0" borderId="4" xfId="0" applyNumberFormat="1" applyFont="1" applyFill="1" applyBorder="1"/>
    <xf numFmtId="3" fontId="5" fillId="0" borderId="5" xfId="0" applyNumberFormat="1" applyFont="1" applyFill="1" applyBorder="1"/>
    <xf numFmtId="3" fontId="3" fillId="0" borderId="2" xfId="0" applyNumberFormat="1" applyFont="1" applyFill="1" applyBorder="1"/>
    <xf numFmtId="3" fontId="29" fillId="0" borderId="7" xfId="0" applyNumberFormat="1" applyFont="1" applyFill="1" applyBorder="1"/>
    <xf numFmtId="3" fontId="30" fillId="0" borderId="11" xfId="0" applyNumberFormat="1" applyFont="1" applyFill="1" applyBorder="1"/>
    <xf numFmtId="3" fontId="3" fillId="0" borderId="38" xfId="1" applyNumberFormat="1" applyFont="1" applyFill="1" applyBorder="1"/>
    <xf numFmtId="3" fontId="3" fillId="0" borderId="21" xfId="1" applyNumberFormat="1" applyFont="1" applyFill="1" applyBorder="1"/>
    <xf numFmtId="3" fontId="3" fillId="0" borderId="22" xfId="1" applyNumberFormat="1" applyFont="1" applyFill="1" applyBorder="1"/>
    <xf numFmtId="3" fontId="29" fillId="0" borderId="38" xfId="0" applyNumberFormat="1" applyFont="1" applyFill="1" applyBorder="1"/>
    <xf numFmtId="3" fontId="3" fillId="0" borderId="21" xfId="0" applyNumberFormat="1" applyFont="1" applyFill="1" applyBorder="1"/>
    <xf numFmtId="3" fontId="29" fillId="0" borderId="23" xfId="0" applyNumberFormat="1" applyFont="1" applyFill="1" applyBorder="1"/>
    <xf numFmtId="3" fontId="29" fillId="0" borderId="24" xfId="0" applyNumberFormat="1" applyFont="1" applyFill="1" applyBorder="1"/>
    <xf numFmtId="3" fontId="5" fillId="0" borderId="47" xfId="1" applyNumberFormat="1" applyFont="1" applyFill="1" applyBorder="1"/>
    <xf numFmtId="3" fontId="30" fillId="0" borderId="28" xfId="0" applyNumberFormat="1" applyFont="1" applyFill="1" applyBorder="1"/>
    <xf numFmtId="3" fontId="5" fillId="0" borderId="18" xfId="1" applyNumberFormat="1" applyFont="1" applyFill="1" applyBorder="1"/>
    <xf numFmtId="3" fontId="5" fillId="0" borderId="19" xfId="1" applyNumberFormat="1" applyFont="1" applyFill="1" applyBorder="1"/>
    <xf numFmtId="3" fontId="29" fillId="0" borderId="5" xfId="0" applyNumberFormat="1" applyFont="1" applyFill="1" applyBorder="1"/>
    <xf numFmtId="3" fontId="29" fillId="0" borderId="30" xfId="0" applyNumberFormat="1" applyFont="1" applyFill="1" applyBorder="1"/>
    <xf numFmtId="3" fontId="31" fillId="0" borderId="4" xfId="0" applyNumberFormat="1" applyFont="1" applyFill="1" applyBorder="1"/>
    <xf numFmtId="3" fontId="31" fillId="0" borderId="28" xfId="0" applyNumberFormat="1" applyFont="1" applyFill="1" applyBorder="1"/>
    <xf numFmtId="3" fontId="31" fillId="0" borderId="11" xfId="0" applyNumberFormat="1" applyFont="1" applyFill="1" applyBorder="1"/>
    <xf numFmtId="3" fontId="31" fillId="0" borderId="56" xfId="0" applyNumberFormat="1" applyFont="1" applyFill="1" applyBorder="1"/>
    <xf numFmtId="3" fontId="29" fillId="0" borderId="31" xfId="0" applyNumberFormat="1" applyFont="1" applyFill="1" applyBorder="1"/>
    <xf numFmtId="3" fontId="30" fillId="0" borderId="31" xfId="0" applyNumberFormat="1" applyFont="1" applyFill="1" applyBorder="1"/>
    <xf numFmtId="3" fontId="30" fillId="0" borderId="30" xfId="0" applyNumberFormat="1" applyFont="1" applyFill="1" applyBorder="1"/>
    <xf numFmtId="3" fontId="30" fillId="0" borderId="47" xfId="0" applyNumberFormat="1" applyFont="1" applyFill="1" applyBorder="1"/>
    <xf numFmtId="3" fontId="30" fillId="0" borderId="36" xfId="0" applyNumberFormat="1" applyFont="1" applyFill="1" applyBorder="1"/>
    <xf numFmtId="3" fontId="31" fillId="0" borderId="8" xfId="0" applyNumberFormat="1" applyFont="1" applyFill="1" applyBorder="1"/>
    <xf numFmtId="3" fontId="31" fillId="0" borderId="19" xfId="0" applyNumberFormat="1" applyFont="1" applyFill="1" applyBorder="1"/>
    <xf numFmtId="3" fontId="29" fillId="0" borderId="9" xfId="0" applyNumberFormat="1" applyFont="1" applyFill="1" applyBorder="1"/>
    <xf numFmtId="3" fontId="30" fillId="0" borderId="44" xfId="0" applyNumberFormat="1" applyFont="1" applyFill="1" applyBorder="1"/>
    <xf numFmtId="3" fontId="30" fillId="0" borderId="6" xfId="0" applyNumberFormat="1" applyFont="1" applyFill="1" applyBorder="1"/>
    <xf numFmtId="3" fontId="30" fillId="0" borderId="52" xfId="0" applyNumberFormat="1" applyFont="1" applyFill="1" applyBorder="1"/>
    <xf numFmtId="3" fontId="29" fillId="0" borderId="82" xfId="0" applyNumberFormat="1" applyFont="1" applyFill="1" applyBorder="1"/>
    <xf numFmtId="3" fontId="29" fillId="0" borderId="98" xfId="0" applyNumberFormat="1" applyFont="1" applyFill="1" applyBorder="1"/>
    <xf numFmtId="3" fontId="29" fillId="0" borderId="61" xfId="0" applyNumberFormat="1" applyFont="1" applyFill="1" applyBorder="1"/>
    <xf numFmtId="3" fontId="29" fillId="0" borderId="99" xfId="0" applyNumberFormat="1" applyFont="1" applyFill="1" applyBorder="1"/>
    <xf numFmtId="3" fontId="29" fillId="0" borderId="54" xfId="0" applyNumberFormat="1" applyFont="1" applyFill="1" applyBorder="1"/>
    <xf numFmtId="3" fontId="29" fillId="0" borderId="100" xfId="0" applyNumberFormat="1" applyFont="1" applyFill="1" applyBorder="1"/>
    <xf numFmtId="3" fontId="29" fillId="0" borderId="55" xfId="0" applyNumberFormat="1" applyFont="1" applyFill="1" applyBorder="1"/>
    <xf numFmtId="3" fontId="31" fillId="0" borderId="1" xfId="0" applyNumberFormat="1" applyFont="1" applyFill="1" applyBorder="1" applyAlignment="1">
      <alignment vertical="center" wrapText="1"/>
    </xf>
    <xf numFmtId="3" fontId="31" fillId="0" borderId="2" xfId="0" applyNumberFormat="1" applyFont="1" applyFill="1" applyBorder="1" applyAlignment="1">
      <alignment vertical="center" wrapText="1"/>
    </xf>
    <xf numFmtId="3" fontId="30" fillId="0" borderId="21" xfId="0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vertical="center" wrapText="1"/>
    </xf>
    <xf numFmtId="3" fontId="30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Fill="1" applyBorder="1" applyAlignment="1">
      <alignment vertical="center" wrapText="1"/>
    </xf>
    <xf numFmtId="3" fontId="31" fillId="0" borderId="3" xfId="0" applyNumberFormat="1" applyFont="1" applyFill="1" applyBorder="1" applyAlignment="1">
      <alignment vertical="center" wrapText="1"/>
    </xf>
    <xf numFmtId="3" fontId="31" fillId="0" borderId="18" xfId="0" applyNumberFormat="1" applyFont="1" applyFill="1" applyBorder="1" applyAlignment="1">
      <alignment vertical="center" wrapText="1"/>
    </xf>
    <xf numFmtId="3" fontId="31" fillId="0" borderId="19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 wrapText="1"/>
    </xf>
    <xf numFmtId="3" fontId="30" fillId="0" borderId="32" xfId="0" applyNumberFormat="1" applyFont="1" applyFill="1" applyBorder="1" applyAlignment="1">
      <alignment vertical="center" wrapText="1"/>
    </xf>
    <xf numFmtId="3" fontId="31" fillId="0" borderId="20" xfId="0" applyNumberFormat="1" applyFont="1" applyFill="1" applyBorder="1" applyAlignment="1">
      <alignment vertical="center" wrapText="1"/>
    </xf>
    <xf numFmtId="3" fontId="31" fillId="0" borderId="21" xfId="0" applyNumberFormat="1" applyFont="1" applyFill="1" applyBorder="1" applyAlignment="1">
      <alignment vertical="center" wrapText="1"/>
    </xf>
    <xf numFmtId="3" fontId="31" fillId="0" borderId="22" xfId="0" applyNumberFormat="1" applyFont="1" applyFill="1" applyBorder="1" applyAlignment="1">
      <alignment vertical="center" wrapText="1"/>
    </xf>
    <xf numFmtId="3" fontId="29" fillId="0" borderId="42" xfId="0" applyNumberFormat="1" applyFont="1" applyFill="1" applyBorder="1"/>
    <xf numFmtId="3" fontId="29" fillId="0" borderId="12" xfId="0" applyNumberFormat="1" applyFont="1" applyFill="1" applyBorder="1" applyAlignment="1">
      <alignment vertical="center" wrapText="1"/>
    </xf>
    <xf numFmtId="3" fontId="29" fillId="0" borderId="28" xfId="0" applyNumberFormat="1" applyFont="1" applyFill="1" applyBorder="1"/>
    <xf numFmtId="0" fontId="30" fillId="0" borderId="26" xfId="0" applyFont="1" applyFill="1" applyBorder="1" applyAlignment="1">
      <alignment horizontal="left"/>
    </xf>
    <xf numFmtId="0" fontId="29" fillId="0" borderId="8" xfId="0" applyFont="1" applyFill="1" applyBorder="1"/>
    <xf numFmtId="0" fontId="29" fillId="0" borderId="22" xfId="0" applyFont="1" applyFill="1" applyBorder="1" applyAlignment="1">
      <alignment horizontal="left"/>
    </xf>
    <xf numFmtId="0" fontId="29" fillId="0" borderId="38" xfId="0" applyFont="1" applyFill="1" applyBorder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wrapText="1"/>
    </xf>
    <xf numFmtId="3" fontId="30" fillId="0" borderId="1" xfId="98" applyNumberFormat="1" applyFont="1" applyFill="1" applyBorder="1" applyAlignment="1">
      <alignment wrapText="1"/>
    </xf>
    <xf numFmtId="3" fontId="30" fillId="0" borderId="0" xfId="98" applyNumberFormat="1" applyFont="1" applyFill="1" applyBorder="1" applyAlignment="1">
      <alignment wrapText="1"/>
    </xf>
    <xf numFmtId="0" fontId="0" fillId="0" borderId="0" xfId="0" applyFill="1"/>
    <xf numFmtId="3" fontId="30" fillId="0" borderId="1" xfId="0" applyNumberFormat="1" applyFont="1" applyFill="1" applyBorder="1" applyAlignment="1">
      <alignment wrapText="1"/>
    </xf>
    <xf numFmtId="3" fontId="29" fillId="0" borderId="1" xfId="0" applyNumberFormat="1" applyFont="1" applyFill="1" applyBorder="1" applyAlignment="1">
      <alignment wrapText="1"/>
    </xf>
    <xf numFmtId="3" fontId="30" fillId="0" borderId="0" xfId="0" applyNumberFormat="1" applyFont="1" applyFill="1" applyBorder="1" applyAlignment="1">
      <alignment wrapText="1"/>
    </xf>
    <xf numFmtId="3" fontId="30" fillId="0" borderId="21" xfId="0" applyNumberFormat="1" applyFont="1" applyFill="1" applyBorder="1"/>
    <xf numFmtId="3" fontId="0" fillId="0" borderId="0" xfId="0" applyNumberFormat="1" applyFill="1" applyBorder="1"/>
    <xf numFmtId="3" fontId="30" fillId="0" borderId="3" xfId="98" applyNumberFormat="1" applyFont="1" applyFill="1" applyBorder="1"/>
    <xf numFmtId="0" fontId="29" fillId="0" borderId="0" xfId="0" applyFont="1" applyFill="1" applyBorder="1"/>
    <xf numFmtId="3" fontId="3" fillId="0" borderId="74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horizontal="center" vertical="center" wrapText="1"/>
    </xf>
    <xf numFmtId="3" fontId="7" fillId="0" borderId="88" xfId="0" applyNumberFormat="1" applyFont="1" applyFill="1" applyBorder="1" applyAlignment="1">
      <alignment horizontal="right" vertical="center" wrapText="1"/>
    </xf>
    <xf numFmtId="3" fontId="5" fillId="0" borderId="89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3" fontId="5" fillId="0" borderId="91" xfId="0" applyNumberFormat="1" applyFont="1" applyFill="1" applyBorder="1" applyAlignment="1">
      <alignment horizontal="right" vertical="center" wrapText="1"/>
    </xf>
    <xf numFmtId="3" fontId="3" fillId="0" borderId="58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5" fillId="0" borderId="0" xfId="46" applyFont="1" applyFill="1" applyBorder="1" applyAlignment="1">
      <alignment vertical="center"/>
    </xf>
    <xf numFmtId="0" fontId="5" fillId="0" borderId="0" xfId="46" applyFont="1" applyFill="1" applyBorder="1" applyAlignment="1">
      <alignment horizontal="center" vertical="center"/>
    </xf>
    <xf numFmtId="0" fontId="5" fillId="0" borderId="0" xfId="46" applyFont="1" applyFill="1" applyAlignment="1">
      <alignment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31" fillId="0" borderId="1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0" fillId="0" borderId="0" xfId="0" applyFill="1" applyAlignment="1"/>
    <xf numFmtId="3" fontId="5" fillId="0" borderId="1" xfId="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wrapText="1"/>
    </xf>
    <xf numFmtId="0" fontId="29" fillId="0" borderId="1" xfId="0" applyFont="1" applyFill="1" applyBorder="1" applyAlignment="1">
      <alignment horizontal="right"/>
    </xf>
    <xf numFmtId="0" fontId="29" fillId="0" borderId="1" xfId="0" applyFont="1" applyFill="1" applyBorder="1" applyAlignment="1"/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49" fontId="30" fillId="0" borderId="3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49" fontId="30" fillId="0" borderId="62" xfId="0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30" fillId="0" borderId="101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49" fontId="30" fillId="0" borderId="102" xfId="0" applyNumberFormat="1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49" fontId="30" fillId="0" borderId="52" xfId="0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3" fontId="30" fillId="0" borderId="2" xfId="0" applyNumberFormat="1" applyFont="1" applyFill="1" applyBorder="1" applyAlignment="1">
      <alignment horizontal="right" vertical="center" wrapText="1"/>
    </xf>
    <xf numFmtId="3" fontId="30" fillId="0" borderId="7" xfId="0" applyNumberFormat="1" applyFont="1" applyFill="1" applyBorder="1" applyAlignment="1">
      <alignment horizontal="right" vertical="center" wrapText="1"/>
    </xf>
    <xf numFmtId="3" fontId="30" fillId="0" borderId="5" xfId="0" applyNumberFormat="1" applyFont="1" applyFill="1" applyBorder="1" applyAlignment="1">
      <alignment horizontal="right" vertical="center" wrapText="1"/>
    </xf>
    <xf numFmtId="0" fontId="30" fillId="0" borderId="101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102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30" fillId="0" borderId="24" xfId="0" applyNumberFormat="1" applyFont="1" applyFill="1" applyBorder="1" applyAlignment="1">
      <alignment horizontal="center" vertical="center" wrapText="1"/>
    </xf>
    <xf numFmtId="3" fontId="30" fillId="0" borderId="98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3" fontId="30" fillId="0" borderId="82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0" fontId="4" fillId="0" borderId="3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3" fontId="29" fillId="0" borderId="4" xfId="0" applyNumberFormat="1" applyFont="1" applyFill="1" applyBorder="1" applyAlignment="1">
      <alignment horizontal="center" vertical="center" wrapText="1"/>
    </xf>
    <xf numFmtId="3" fontId="29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36" fillId="0" borderId="37" xfId="0" applyFont="1" applyBorder="1" applyAlignment="1">
      <alignment horizontal="right"/>
    </xf>
    <xf numFmtId="0" fontId="72" fillId="0" borderId="16" xfId="43" applyFont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  <xf numFmtId="167" fontId="82" fillId="0" borderId="1" xfId="98" applyNumberFormat="1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3" fillId="0" borderId="16" xfId="43" applyFont="1" applyBorder="1" applyAlignment="1">
      <alignment horizontal="center" vertical="center" wrapText="1"/>
    </xf>
    <xf numFmtId="0" fontId="5" fillId="0" borderId="1" xfId="43" applyFont="1" applyBorder="1" applyAlignment="1">
      <alignment horizontal="center" vertical="center" wrapText="1"/>
    </xf>
    <xf numFmtId="0" fontId="3" fillId="0" borderId="16" xfId="43" applyFont="1" applyBorder="1" applyAlignment="1">
      <alignment horizontal="center" vertical="center"/>
    </xf>
    <xf numFmtId="0" fontId="3" fillId="32" borderId="16" xfId="43" applyFont="1" applyFill="1" applyBorder="1" applyAlignment="1">
      <alignment horizontal="center" vertical="center" wrapText="1"/>
    </xf>
    <xf numFmtId="0" fontId="3" fillId="32" borderId="1" xfId="43" applyFont="1" applyFill="1" applyBorder="1" applyAlignment="1">
      <alignment horizontal="center" vertical="center" wrapText="1"/>
    </xf>
    <xf numFmtId="0" fontId="3" fillId="32" borderId="17" xfId="43" applyFont="1" applyFill="1" applyBorder="1" applyAlignment="1">
      <alignment horizontal="center" vertical="center" wrapText="1"/>
    </xf>
    <xf numFmtId="0" fontId="3" fillId="32" borderId="19" xfId="43" applyFont="1" applyFill="1" applyBorder="1" applyAlignment="1">
      <alignment horizontal="center" vertical="center" wrapText="1"/>
    </xf>
    <xf numFmtId="0" fontId="82" fillId="0" borderId="1" xfId="43" applyFont="1" applyBorder="1" applyAlignment="1">
      <alignment horizontal="center" vertical="center" wrapText="1"/>
    </xf>
    <xf numFmtId="0" fontId="82" fillId="0" borderId="1" xfId="43" applyFont="1" applyFill="1" applyBorder="1" applyAlignment="1">
      <alignment horizontal="center" vertical="center" wrapText="1"/>
    </xf>
    <xf numFmtId="0" fontId="82" fillId="0" borderId="1" xfId="44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82" fillId="0" borderId="2" xfId="43" applyFont="1" applyBorder="1" applyAlignment="1">
      <alignment horizontal="center" vertical="center" wrapText="1"/>
    </xf>
    <xf numFmtId="0" fontId="82" fillId="0" borderId="5" xfId="43" applyFont="1" applyBorder="1" applyAlignment="1">
      <alignment horizontal="center" vertical="center" wrapText="1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workbookViewId="0">
      <selection activeCell="B31" sqref="B31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181" t="s">
        <v>826</v>
      </c>
      <c r="B1" s="1181"/>
    </row>
    <row r="2" spans="1:2" ht="15.75" x14ac:dyDescent="0.25">
      <c r="A2" s="1182" t="s">
        <v>682</v>
      </c>
      <c r="B2" s="1182"/>
    </row>
    <row r="3" spans="1:2" x14ac:dyDescent="0.25">
      <c r="A3" s="298"/>
      <c r="B3" s="461"/>
    </row>
    <row r="4" spans="1:2" x14ac:dyDescent="0.25">
      <c r="A4" s="462" t="s">
        <v>566</v>
      </c>
      <c r="B4" s="463" t="s">
        <v>827</v>
      </c>
    </row>
    <row r="5" spans="1:2" x14ac:dyDescent="0.25">
      <c r="A5" s="462" t="s">
        <v>567</v>
      </c>
      <c r="B5" s="463" t="s">
        <v>828</v>
      </c>
    </row>
    <row r="6" spans="1:2" x14ac:dyDescent="0.25">
      <c r="A6" s="462" t="s">
        <v>568</v>
      </c>
      <c r="B6" s="463" t="s">
        <v>829</v>
      </c>
    </row>
    <row r="7" spans="1:2" x14ac:dyDescent="0.25">
      <c r="A7" s="462" t="s">
        <v>578</v>
      </c>
      <c r="B7" s="463" t="s">
        <v>830</v>
      </c>
    </row>
    <row r="8" spans="1:2" x14ac:dyDescent="0.25">
      <c r="A8" s="462" t="s">
        <v>579</v>
      </c>
      <c r="B8" s="463" t="s">
        <v>831</v>
      </c>
    </row>
    <row r="9" spans="1:2" x14ac:dyDescent="0.25">
      <c r="A9" s="462" t="s">
        <v>580</v>
      </c>
      <c r="B9" s="463" t="s">
        <v>832</v>
      </c>
    </row>
    <row r="10" spans="1:2" x14ac:dyDescent="0.25">
      <c r="A10" s="462" t="s">
        <v>569</v>
      </c>
      <c r="B10" s="463" t="s">
        <v>833</v>
      </c>
    </row>
    <row r="11" spans="1:2" x14ac:dyDescent="0.25">
      <c r="A11" s="462" t="s">
        <v>570</v>
      </c>
      <c r="B11" s="463" t="s">
        <v>834</v>
      </c>
    </row>
    <row r="12" spans="1:2" ht="25.5" x14ac:dyDescent="0.25">
      <c r="A12" s="462" t="s">
        <v>618</v>
      </c>
      <c r="B12" s="463" t="s">
        <v>835</v>
      </c>
    </row>
    <row r="13" spans="1:2" ht="25.5" x14ac:dyDescent="0.25">
      <c r="A13" s="462" t="s">
        <v>619</v>
      </c>
      <c r="B13" s="463" t="s">
        <v>836</v>
      </c>
    </row>
    <row r="14" spans="1:2" ht="25.5" x14ac:dyDescent="0.25">
      <c r="A14" s="462" t="s">
        <v>620</v>
      </c>
      <c r="B14" s="463" t="s">
        <v>837</v>
      </c>
    </row>
    <row r="15" spans="1:2" x14ac:dyDescent="0.25">
      <c r="A15" s="462" t="s">
        <v>621</v>
      </c>
      <c r="B15" s="463" t="s">
        <v>838</v>
      </c>
    </row>
    <row r="16" spans="1:2" x14ac:dyDescent="0.25">
      <c r="A16" s="462" t="s">
        <v>622</v>
      </c>
      <c r="B16" s="463" t="s">
        <v>839</v>
      </c>
    </row>
    <row r="17" spans="1:2" x14ac:dyDescent="0.25">
      <c r="A17" s="462" t="s">
        <v>623</v>
      </c>
      <c r="B17" s="463" t="s">
        <v>840</v>
      </c>
    </row>
    <row r="18" spans="1:2" x14ac:dyDescent="0.25">
      <c r="A18" s="462" t="s">
        <v>624</v>
      </c>
      <c r="B18" s="463" t="s">
        <v>841</v>
      </c>
    </row>
    <row r="19" spans="1:2" x14ac:dyDescent="0.25">
      <c r="A19" s="462" t="s">
        <v>571</v>
      </c>
      <c r="B19" s="463" t="s">
        <v>572</v>
      </c>
    </row>
    <row r="20" spans="1:2" x14ac:dyDescent="0.25">
      <c r="A20" s="462" t="s">
        <v>625</v>
      </c>
      <c r="B20" s="463" t="s">
        <v>842</v>
      </c>
    </row>
    <row r="21" spans="1:2" x14ac:dyDescent="0.25">
      <c r="A21" s="462" t="s">
        <v>626</v>
      </c>
      <c r="B21" s="463" t="s">
        <v>843</v>
      </c>
    </row>
    <row r="22" spans="1:2" x14ac:dyDescent="0.25">
      <c r="A22" s="462" t="s">
        <v>573</v>
      </c>
      <c r="B22" s="463" t="s">
        <v>574</v>
      </c>
    </row>
    <row r="23" spans="1:2" ht="17.25" customHeight="1" x14ac:dyDescent="0.25">
      <c r="A23" s="462" t="s">
        <v>575</v>
      </c>
      <c r="B23" s="463" t="s">
        <v>576</v>
      </c>
    </row>
    <row r="24" spans="1:2" x14ac:dyDescent="0.25">
      <c r="A24" s="462" t="s">
        <v>577</v>
      </c>
      <c r="B24" s="463" t="s">
        <v>872</v>
      </c>
    </row>
    <row r="25" spans="1:2" x14ac:dyDescent="0.25">
      <c r="A25" s="462" t="s">
        <v>844</v>
      </c>
      <c r="B25" s="463" t="s">
        <v>462</v>
      </c>
    </row>
    <row r="26" spans="1:2" x14ac:dyDescent="0.25">
      <c r="A26" s="462" t="s">
        <v>845</v>
      </c>
      <c r="B26" s="463" t="s">
        <v>581</v>
      </c>
    </row>
    <row r="27" spans="1:2" x14ac:dyDescent="0.25">
      <c r="A27" s="462" t="s">
        <v>907</v>
      </c>
      <c r="B27" s="55" t="s">
        <v>738</v>
      </c>
    </row>
    <row r="28" spans="1:2" x14ac:dyDescent="0.25">
      <c r="A28" s="462" t="s">
        <v>908</v>
      </c>
      <c r="B28" s="55" t="s">
        <v>735</v>
      </c>
    </row>
    <row r="29" spans="1:2" x14ac:dyDescent="0.25">
      <c r="A29" s="462" t="s">
        <v>909</v>
      </c>
      <c r="B29" s="55" t="s">
        <v>736</v>
      </c>
    </row>
    <row r="30" spans="1:2" x14ac:dyDescent="0.25">
      <c r="A30" s="462" t="s">
        <v>910</v>
      </c>
      <c r="B30" s="55" t="s">
        <v>737</v>
      </c>
    </row>
    <row r="31" spans="1:2" x14ac:dyDescent="0.25">
      <c r="B31" s="55"/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D33" sqref="D33"/>
    </sheetView>
  </sheetViews>
  <sheetFormatPr defaultColWidth="9.140625" defaultRowHeight="15" x14ac:dyDescent="0.25"/>
  <cols>
    <col min="1" max="1" width="6.28515625" style="299" customWidth="1"/>
    <col min="2" max="2" width="7.140625" style="107" customWidth="1"/>
    <col min="3" max="3" width="22" style="107" customWidth="1"/>
    <col min="4" max="4" width="9.5703125" style="50" customWidth="1"/>
    <col min="5" max="5" width="7.85546875" style="50" customWidth="1"/>
    <col min="6" max="6" width="8.85546875" style="50" bestFit="1" customWidth="1"/>
    <col min="7" max="7" width="8.5703125" style="50" customWidth="1"/>
    <col min="8" max="8" width="7.140625" style="50" customWidth="1"/>
    <col min="9" max="9" width="6.5703125" style="50" customWidth="1"/>
    <col min="10" max="17" width="9.5703125" style="50" customWidth="1"/>
    <col min="18" max="18" width="7.7109375" style="50" customWidth="1"/>
    <col min="19" max="19" width="10.28515625" style="50" bestFit="1" customWidth="1"/>
    <col min="20" max="24" width="7.7109375" style="50" customWidth="1"/>
    <col min="25" max="25" width="9.42578125" style="50" customWidth="1"/>
    <col min="26" max="27" width="7.7109375" style="50" customWidth="1"/>
    <col min="28" max="29" width="9.140625" style="301"/>
    <col min="30" max="30" width="9.140625" style="1"/>
    <col min="31" max="16384" width="9.140625" style="17"/>
  </cols>
  <sheetData>
    <row r="1" spans="1:29" s="27" customFormat="1" ht="12.75" customHeight="1" x14ac:dyDescent="0.25">
      <c r="A1" s="1210" t="s">
        <v>0</v>
      </c>
      <c r="B1" s="1212" t="s">
        <v>182</v>
      </c>
      <c r="C1" s="1213"/>
      <c r="D1" s="1216" t="s">
        <v>180</v>
      </c>
      <c r="E1" s="1217"/>
      <c r="F1" s="1217"/>
      <c r="G1" s="1216" t="s">
        <v>263</v>
      </c>
      <c r="H1" s="1217"/>
      <c r="I1" s="1218"/>
      <c r="J1" s="1216" t="s">
        <v>491</v>
      </c>
      <c r="K1" s="1217"/>
      <c r="L1" s="1218"/>
      <c r="M1" s="1216" t="s">
        <v>492</v>
      </c>
      <c r="N1" s="1217"/>
      <c r="O1" s="1218"/>
      <c r="P1" s="1219" t="s">
        <v>493</v>
      </c>
      <c r="Q1" s="1217"/>
      <c r="R1" s="1220"/>
      <c r="S1" s="1216" t="s">
        <v>264</v>
      </c>
      <c r="T1" s="1217"/>
      <c r="U1" s="1218"/>
      <c r="V1" s="1216" t="s">
        <v>494</v>
      </c>
      <c r="W1" s="1217"/>
      <c r="X1" s="1218"/>
      <c r="Y1" s="1219" t="s">
        <v>265</v>
      </c>
      <c r="Z1" s="1217"/>
      <c r="AA1" s="1218"/>
      <c r="AB1" s="293"/>
      <c r="AC1" s="293"/>
    </row>
    <row r="2" spans="1:29" s="16" customFormat="1" ht="26.25" thickBot="1" x14ac:dyDescent="0.3">
      <c r="A2" s="1211"/>
      <c r="B2" s="1214"/>
      <c r="C2" s="1215"/>
      <c r="D2" s="324" t="s">
        <v>943</v>
      </c>
      <c r="E2" s="302" t="s">
        <v>684</v>
      </c>
      <c r="F2" s="302" t="s">
        <v>940</v>
      </c>
      <c r="G2" s="324" t="s">
        <v>943</v>
      </c>
      <c r="H2" s="302" t="s">
        <v>684</v>
      </c>
      <c r="I2" s="302" t="s">
        <v>940</v>
      </c>
      <c r="J2" s="324" t="s">
        <v>943</v>
      </c>
      <c r="K2" s="302" t="s">
        <v>684</v>
      </c>
      <c r="L2" s="302" t="s">
        <v>940</v>
      </c>
      <c r="M2" s="324" t="s">
        <v>943</v>
      </c>
      <c r="N2" s="302" t="s">
        <v>684</v>
      </c>
      <c r="O2" s="302" t="s">
        <v>940</v>
      </c>
      <c r="P2" s="324" t="s">
        <v>943</v>
      </c>
      <c r="Q2" s="302" t="s">
        <v>684</v>
      </c>
      <c r="R2" s="302" t="s">
        <v>940</v>
      </c>
      <c r="S2" s="324" t="s">
        <v>943</v>
      </c>
      <c r="T2" s="302" t="s">
        <v>684</v>
      </c>
      <c r="U2" s="302" t="s">
        <v>940</v>
      </c>
      <c r="V2" s="324" t="s">
        <v>943</v>
      </c>
      <c r="W2" s="302" t="s">
        <v>684</v>
      </c>
      <c r="X2" s="302" t="s">
        <v>940</v>
      </c>
      <c r="Y2" s="324" t="s">
        <v>943</v>
      </c>
      <c r="Z2" s="302" t="s">
        <v>684</v>
      </c>
      <c r="AA2" s="302" t="s">
        <v>940</v>
      </c>
      <c r="AB2" s="300"/>
      <c r="AC2" s="300"/>
    </row>
    <row r="3" spans="1:29" s="37" customFormat="1" ht="12.75" x14ac:dyDescent="0.2">
      <c r="A3" s="407" t="s">
        <v>27</v>
      </c>
      <c r="B3" s="1232" t="s">
        <v>174</v>
      </c>
      <c r="C3" s="1233"/>
      <c r="D3" s="414">
        <f>+G3+J3+M3+P3+S3+V3+Y3</f>
        <v>18791</v>
      </c>
      <c r="E3" s="415">
        <f>+H3+K3+N3+Q3+T3+W3+Z3</f>
        <v>0</v>
      </c>
      <c r="F3" s="415">
        <f>+I3+L3+O3+R3+U3+X3+AA3</f>
        <v>18791</v>
      </c>
      <c r="G3" s="414">
        <f>+'5.a. mell. Jogalkotás'!D5</f>
        <v>0</v>
      </c>
      <c r="H3" s="415">
        <f>+'5.a. mell. Jogalkotás'!E5</f>
        <v>0</v>
      </c>
      <c r="I3" s="416">
        <f>+'5.a. mell. Jogalkotás'!F5</f>
        <v>0</v>
      </c>
      <c r="J3" s="414">
        <f>+'5.b. mell. VF saját forrásból'!D5</f>
        <v>0</v>
      </c>
      <c r="K3" s="414">
        <f>+'5.b. mell. VF saját forrásból'!E5</f>
        <v>0</v>
      </c>
      <c r="L3" s="414">
        <f>+'5.b. mell. VF saját forrásból'!F5</f>
        <v>0</v>
      </c>
      <c r="M3" s="414">
        <f>+'5.c. mell. VF Eu forrásból'!D5</f>
        <v>0</v>
      </c>
      <c r="N3" s="415">
        <f>+'5.c. mell. VF Eu forrásból'!E5</f>
        <v>0</v>
      </c>
      <c r="O3" s="416">
        <f>+'5.c. mell. VF Eu forrásból'!F5</f>
        <v>0</v>
      </c>
      <c r="P3" s="417">
        <f>+'5.d. mell. Védőnő, EÜ'!D5</f>
        <v>18791</v>
      </c>
      <c r="Q3" s="415">
        <f>+'5.d. mell. Védőnő, EÜ'!E5</f>
        <v>0</v>
      </c>
      <c r="R3" s="418">
        <f>+'5.d. mell. Védőnő, EÜ'!F5</f>
        <v>18791</v>
      </c>
      <c r="S3" s="414"/>
      <c r="T3" s="415"/>
      <c r="U3" s="416"/>
      <c r="V3" s="414"/>
      <c r="W3" s="415"/>
      <c r="X3" s="416"/>
      <c r="Y3" s="417">
        <f>+'5.g. mell. Egyéb tev.'!D5</f>
        <v>0</v>
      </c>
      <c r="Z3" s="415">
        <f>+'5.g. mell. Egyéb tev.'!E5</f>
        <v>0</v>
      </c>
      <c r="AA3" s="416">
        <f>+'5.g. mell. Egyéb tev.'!F5</f>
        <v>0</v>
      </c>
      <c r="AB3" s="194"/>
      <c r="AC3" s="194"/>
    </row>
    <row r="4" spans="1:29" s="37" customFormat="1" ht="12.75" customHeight="1" x14ac:dyDescent="0.2">
      <c r="A4" s="408" t="s">
        <v>33</v>
      </c>
      <c r="B4" s="1234" t="s">
        <v>173</v>
      </c>
      <c r="C4" s="1235"/>
      <c r="D4" s="414">
        <f>+G4+J4+M4+P4+S4+V4+Y4</f>
        <v>42646</v>
      </c>
      <c r="E4" s="419">
        <f t="shared" ref="E4:E29" si="0">+H4+K4+N4+Q4+T4+W4+Z4</f>
        <v>783</v>
      </c>
      <c r="F4" s="419">
        <f>+I4+L4+O4+R4+U4+X4+AA4</f>
        <v>43429</v>
      </c>
      <c r="G4" s="420">
        <f>+'5.a. mell. Jogalkotás'!D6</f>
        <v>41097</v>
      </c>
      <c r="H4" s="419">
        <f>+'5.a. mell. Jogalkotás'!E6</f>
        <v>783</v>
      </c>
      <c r="I4" s="421">
        <f>+'5.a. mell. Jogalkotás'!F6</f>
        <v>41880</v>
      </c>
      <c r="J4" s="420">
        <f>+'5.b. mell. VF saját forrásból'!D6</f>
        <v>0</v>
      </c>
      <c r="K4" s="420">
        <f>+'5.b. mell. VF saját forrásból'!E6</f>
        <v>0</v>
      </c>
      <c r="L4" s="420">
        <f>+'5.b. mell. VF saját forrásból'!F6</f>
        <v>0</v>
      </c>
      <c r="M4" s="420">
        <f>+'5.c. mell. VF Eu forrásból'!D6</f>
        <v>979</v>
      </c>
      <c r="N4" s="419">
        <f>+'5.c. mell. VF Eu forrásból'!E6</f>
        <v>0</v>
      </c>
      <c r="O4" s="421">
        <f>+'5.c. mell. VF Eu forrásból'!F6</f>
        <v>979</v>
      </c>
      <c r="P4" s="422">
        <f>+'5.d. mell. Védőnő, EÜ'!D6</f>
        <v>0</v>
      </c>
      <c r="Q4" s="419">
        <f>+'5.d. mell. Védőnő, EÜ'!E6</f>
        <v>0</v>
      </c>
      <c r="R4" s="423">
        <f>+'5.d. mell. Védőnő, EÜ'!F6</f>
        <v>0</v>
      </c>
      <c r="S4" s="420"/>
      <c r="T4" s="419"/>
      <c r="U4" s="421"/>
      <c r="V4" s="420"/>
      <c r="W4" s="419"/>
      <c r="X4" s="421"/>
      <c r="Y4" s="422">
        <f>+'5.g. mell. Egyéb tev.'!D6</f>
        <v>570</v>
      </c>
      <c r="Z4" s="419">
        <f>+'5.g. mell. Egyéb tev.'!E6</f>
        <v>0</v>
      </c>
      <c r="AA4" s="421">
        <f>+'5.g. mell. Egyéb tev.'!F6</f>
        <v>570</v>
      </c>
      <c r="AB4" s="194"/>
      <c r="AC4" s="194"/>
    </row>
    <row r="5" spans="1:29" s="37" customFormat="1" ht="12.75" customHeight="1" x14ac:dyDescent="0.2">
      <c r="A5" s="409" t="s">
        <v>34</v>
      </c>
      <c r="B5" s="1224" t="s">
        <v>172</v>
      </c>
      <c r="C5" s="1225"/>
      <c r="D5" s="414">
        <f t="shared" ref="D5" si="1">+G5+J5+M5+P5+S5+V5+Y5</f>
        <v>61437</v>
      </c>
      <c r="E5" s="419">
        <f t="shared" si="0"/>
        <v>783</v>
      </c>
      <c r="F5" s="419">
        <f>+I5+L5+O5+R5+U5+X5+AA5</f>
        <v>62220</v>
      </c>
      <c r="G5" s="420">
        <f>+G3+G4</f>
        <v>41097</v>
      </c>
      <c r="H5" s="419">
        <f t="shared" ref="H5:I5" si="2">+H3+H4</f>
        <v>783</v>
      </c>
      <c r="I5" s="421">
        <f t="shared" si="2"/>
        <v>41880</v>
      </c>
      <c r="J5" s="632">
        <f>+'5.b. mell. VF saját forrásból'!D7</f>
        <v>0</v>
      </c>
      <c r="K5" s="632">
        <f>+'5.b. mell. VF saját forrásból'!E7</f>
        <v>0</v>
      </c>
      <c r="L5" s="632">
        <f>+'5.b. mell. VF saját forrásból'!F7</f>
        <v>0</v>
      </c>
      <c r="M5" s="632">
        <f>+M3+M4</f>
        <v>979</v>
      </c>
      <c r="N5" s="633">
        <f t="shared" ref="N5:O5" si="3">+N3+N4</f>
        <v>0</v>
      </c>
      <c r="O5" s="634">
        <f t="shared" si="3"/>
        <v>979</v>
      </c>
      <c r="P5" s="635">
        <f>+P3+P4</f>
        <v>18791</v>
      </c>
      <c r="Q5" s="633">
        <f t="shared" ref="Q5:R5" si="4">+Q3+Q4</f>
        <v>0</v>
      </c>
      <c r="R5" s="423">
        <f t="shared" si="4"/>
        <v>18791</v>
      </c>
      <c r="S5" s="420"/>
      <c r="T5" s="419"/>
      <c r="U5" s="421"/>
      <c r="V5" s="420"/>
      <c r="W5" s="419"/>
      <c r="X5" s="421"/>
      <c r="Y5" s="422">
        <f>+'5.g. mell. Egyéb tev.'!D7</f>
        <v>570</v>
      </c>
      <c r="Z5" s="419">
        <f>+'5.g. mell. Egyéb tev.'!E7</f>
        <v>0</v>
      </c>
      <c r="AA5" s="421">
        <f>+'5.g. mell. Egyéb tev.'!F7</f>
        <v>570</v>
      </c>
      <c r="AB5" s="194"/>
      <c r="AC5" s="194"/>
    </row>
    <row r="6" spans="1:29" x14ac:dyDescent="0.25">
      <c r="A6" s="88"/>
      <c r="B6" s="412"/>
      <c r="C6" s="303"/>
      <c r="D6" s="424"/>
      <c r="E6" s="425"/>
      <c r="F6" s="425"/>
      <c r="G6" s="426"/>
      <c r="H6" s="425"/>
      <c r="I6" s="427"/>
      <c r="J6" s="636"/>
      <c r="K6" s="637"/>
      <c r="L6" s="638"/>
      <c r="M6" s="636"/>
      <c r="N6" s="637"/>
      <c r="O6" s="638"/>
      <c r="P6" s="637"/>
      <c r="Q6" s="637"/>
      <c r="R6" s="425"/>
      <c r="S6" s="426"/>
      <c r="T6" s="425"/>
      <c r="U6" s="427"/>
      <c r="V6" s="426"/>
      <c r="W6" s="425"/>
      <c r="X6" s="427"/>
      <c r="Y6" s="425"/>
      <c r="Z6" s="425"/>
      <c r="AA6" s="427"/>
    </row>
    <row r="7" spans="1:29" s="37" customFormat="1" ht="12.75" customHeight="1" x14ac:dyDescent="0.2">
      <c r="A7" s="409" t="s">
        <v>35</v>
      </c>
      <c r="B7" s="1224" t="s">
        <v>171</v>
      </c>
      <c r="C7" s="1225"/>
      <c r="D7" s="420">
        <f>+G7+J7+M7+P7+S7+V7+Y7</f>
        <v>10344</v>
      </c>
      <c r="E7" s="419">
        <f t="shared" si="0"/>
        <v>109</v>
      </c>
      <c r="F7" s="419">
        <f t="shared" ref="F7:F29" si="5">+I7+L7+O7+R7+U7+X7+AA7</f>
        <v>10453</v>
      </c>
      <c r="G7" s="420">
        <f>+'5.a. mell. Jogalkotás'!D9</f>
        <v>7012</v>
      </c>
      <c r="H7" s="419">
        <f>+'5.a. mell. Jogalkotás'!E9</f>
        <v>109</v>
      </c>
      <c r="I7" s="421">
        <f>+'5.a. mell. Jogalkotás'!F9</f>
        <v>7121</v>
      </c>
      <c r="J7" s="632">
        <f>+'5.b. mell. VF saját forrásból'!D9</f>
        <v>0</v>
      </c>
      <c r="K7" s="632">
        <f>+'5.b. mell. VF saját forrásból'!E9</f>
        <v>0</v>
      </c>
      <c r="L7" s="632">
        <f>+'5.b. mell. VF saját forrásból'!F9</f>
        <v>0</v>
      </c>
      <c r="M7" s="632">
        <f>+'5.c. mell. VF Eu forrásból'!D9</f>
        <v>228</v>
      </c>
      <c r="N7" s="633">
        <f>+'5.c. mell. VF Eu forrásból'!E9</f>
        <v>0</v>
      </c>
      <c r="O7" s="634">
        <f>+'5.c. mell. VF Eu forrásból'!F9</f>
        <v>228</v>
      </c>
      <c r="P7" s="635">
        <f>+'5.d. mell. Védőnő, EÜ'!D9</f>
        <v>2925</v>
      </c>
      <c r="Q7" s="633">
        <f>+'5.d. mell. Védőnő, EÜ'!E9</f>
        <v>0</v>
      </c>
      <c r="R7" s="423">
        <f>+'5.d. mell. Védőnő, EÜ'!F9</f>
        <v>2925</v>
      </c>
      <c r="S7" s="420"/>
      <c r="T7" s="419"/>
      <c r="U7" s="421"/>
      <c r="V7" s="420"/>
      <c r="W7" s="419"/>
      <c r="X7" s="421"/>
      <c r="Y7" s="422">
        <f>+'5.g. mell. Egyéb tev.'!D9</f>
        <v>179</v>
      </c>
      <c r="Z7" s="419">
        <f>+'5.g. mell. Egyéb tev.'!E9</f>
        <v>0</v>
      </c>
      <c r="AA7" s="421">
        <f>+'5.g. mell. Egyéb tev.'!F9</f>
        <v>179</v>
      </c>
      <c r="AB7" s="194"/>
      <c r="AC7" s="194"/>
    </row>
    <row r="8" spans="1:29" x14ac:dyDescent="0.25">
      <c r="A8" s="88"/>
      <c r="B8" s="413"/>
      <c r="C8" s="304"/>
      <c r="D8" s="424"/>
      <c r="E8" s="425"/>
      <c r="F8" s="425"/>
      <c r="G8" s="426"/>
      <c r="H8" s="425"/>
      <c r="I8" s="427"/>
      <c r="J8" s="636"/>
      <c r="K8" s="637"/>
      <c r="L8" s="638"/>
      <c r="M8" s="636"/>
      <c r="N8" s="637"/>
      <c r="O8" s="638"/>
      <c r="P8" s="637"/>
      <c r="Q8" s="637"/>
      <c r="R8" s="425"/>
      <c r="S8" s="426"/>
      <c r="T8" s="425"/>
      <c r="U8" s="427"/>
      <c r="V8" s="426"/>
      <c r="W8" s="425"/>
      <c r="X8" s="427"/>
      <c r="Y8" s="425"/>
      <c r="Z8" s="425"/>
      <c r="AA8" s="427"/>
    </row>
    <row r="9" spans="1:29" s="37" customFormat="1" ht="12.75" customHeight="1" x14ac:dyDescent="0.2">
      <c r="A9" s="408" t="s">
        <v>47</v>
      </c>
      <c r="B9" s="1234" t="s">
        <v>170</v>
      </c>
      <c r="C9" s="1235"/>
      <c r="D9" s="420">
        <f>+G9+J9+M9+P9+S9+V9+Y9</f>
        <v>3757</v>
      </c>
      <c r="E9" s="428">
        <f t="shared" si="0"/>
        <v>-500</v>
      </c>
      <c r="F9" s="428">
        <f t="shared" si="5"/>
        <v>3257</v>
      </c>
      <c r="G9" s="429">
        <f>+'5.a. mell. Jogalkotás'!D14</f>
        <v>1453</v>
      </c>
      <c r="H9" s="428">
        <f>+'5.a. mell. Jogalkotás'!E14</f>
        <v>0</v>
      </c>
      <c r="I9" s="430">
        <f>+'5.a. mell. Jogalkotás'!F14</f>
        <v>1453</v>
      </c>
      <c r="J9" s="639">
        <f>+'5.b. mell. VF saját forrásból'!D14</f>
        <v>0</v>
      </c>
      <c r="K9" s="640">
        <f>+'5.b. mell. VF saját forrásból'!E14</f>
        <v>0</v>
      </c>
      <c r="L9" s="641">
        <f>+'5.b. mell. VF saját forrásból'!F14</f>
        <v>0</v>
      </c>
      <c r="M9" s="639">
        <f>+'5.c. mell. VF Eu forrásból'!D14</f>
        <v>0</v>
      </c>
      <c r="N9" s="640">
        <f>+'5.c. mell. VF Eu forrásból'!E14</f>
        <v>0</v>
      </c>
      <c r="O9" s="641">
        <f>+'5.c. mell. VF Eu forrásból'!F14</f>
        <v>0</v>
      </c>
      <c r="P9" s="642">
        <f>+'5.d. mell. Védőnő, EÜ'!D14</f>
        <v>350</v>
      </c>
      <c r="Q9" s="640">
        <f>+'5.d. mell. Védőnő, EÜ'!E14</f>
        <v>0</v>
      </c>
      <c r="R9" s="432">
        <f>+'5.d. mell. Védőnő, EÜ'!F14</f>
        <v>350</v>
      </c>
      <c r="S9" s="429"/>
      <c r="T9" s="428"/>
      <c r="U9" s="430"/>
      <c r="V9" s="429"/>
      <c r="W9" s="428"/>
      <c r="X9" s="430"/>
      <c r="Y9" s="431">
        <f>+'5.g. mell. Egyéb tev.'!D14</f>
        <v>1954</v>
      </c>
      <c r="Z9" s="428">
        <f>+'5.g. mell. Egyéb tev.'!E14</f>
        <v>-500</v>
      </c>
      <c r="AA9" s="430">
        <f>+'5.g. mell. Egyéb tev.'!F14</f>
        <v>1454</v>
      </c>
      <c r="AB9" s="194"/>
      <c r="AC9" s="194"/>
    </row>
    <row r="10" spans="1:29" s="37" customFormat="1" ht="12.75" customHeight="1" x14ac:dyDescent="0.2">
      <c r="A10" s="408" t="s">
        <v>52</v>
      </c>
      <c r="B10" s="1234" t="s">
        <v>169</v>
      </c>
      <c r="C10" s="1235"/>
      <c r="D10" s="420">
        <f t="shared" ref="D10:D12" si="6">+G10+J10+M10+P10+S10+V10+Y10</f>
        <v>3833</v>
      </c>
      <c r="E10" s="428">
        <f t="shared" si="0"/>
        <v>0</v>
      </c>
      <c r="F10" s="428">
        <f t="shared" si="5"/>
        <v>3833</v>
      </c>
      <c r="G10" s="429">
        <f>+'5.a. mell. Jogalkotás'!D17</f>
        <v>306</v>
      </c>
      <c r="H10" s="428">
        <f>+'5.a. mell. Jogalkotás'!E17</f>
        <v>0</v>
      </c>
      <c r="I10" s="430">
        <f>+'5.a. mell. Jogalkotás'!F17</f>
        <v>306</v>
      </c>
      <c r="J10" s="639">
        <f>+'5.b. mell. VF saját forrásból'!D17</f>
        <v>0</v>
      </c>
      <c r="K10" s="640">
        <f>+'5.b. mell. VF saját forrásból'!E17</f>
        <v>0</v>
      </c>
      <c r="L10" s="640">
        <f>+'5.b. mell. VF saját forrásból'!F17</f>
        <v>0</v>
      </c>
      <c r="M10" s="639">
        <f>+'5.c. mell. VF Eu forrásból'!D17</f>
        <v>0</v>
      </c>
      <c r="N10" s="640">
        <f>+'5.c. mell. VF Eu forrásból'!E17</f>
        <v>0</v>
      </c>
      <c r="O10" s="641">
        <f>+'5.c. mell. VF Eu forrásból'!F17</f>
        <v>0</v>
      </c>
      <c r="P10" s="642">
        <f>+'5.d. mell. Védőnő, EÜ'!D17</f>
        <v>413</v>
      </c>
      <c r="Q10" s="640">
        <f>+'5.d. mell. Védőnő, EÜ'!E17</f>
        <v>0</v>
      </c>
      <c r="R10" s="432">
        <f>+'5.d. mell. Védőnő, EÜ'!F17</f>
        <v>413</v>
      </c>
      <c r="S10" s="429"/>
      <c r="T10" s="428"/>
      <c r="U10" s="430"/>
      <c r="V10" s="429"/>
      <c r="W10" s="428"/>
      <c r="X10" s="430"/>
      <c r="Y10" s="431">
        <f>+'5.g. mell. Egyéb tev.'!D17</f>
        <v>3114</v>
      </c>
      <c r="Z10" s="428">
        <f>+'5.g. mell. Egyéb tev.'!E17</f>
        <v>0</v>
      </c>
      <c r="AA10" s="430">
        <f>+'5.g. mell. Egyéb tev.'!F17</f>
        <v>3114</v>
      </c>
      <c r="AB10" s="194"/>
      <c r="AC10" s="194"/>
    </row>
    <row r="11" spans="1:29" s="37" customFormat="1" ht="12.75" customHeight="1" x14ac:dyDescent="0.2">
      <c r="A11" s="408" t="s">
        <v>66</v>
      </c>
      <c r="B11" s="1234" t="s">
        <v>156</v>
      </c>
      <c r="C11" s="1235"/>
      <c r="D11" s="420">
        <f t="shared" si="6"/>
        <v>105364</v>
      </c>
      <c r="E11" s="428">
        <f t="shared" si="0"/>
        <v>34200</v>
      </c>
      <c r="F11" s="428">
        <f t="shared" si="5"/>
        <v>139564</v>
      </c>
      <c r="G11" s="429">
        <f>+'5.a. mell. Jogalkotás'!D25</f>
        <v>8008</v>
      </c>
      <c r="H11" s="428">
        <f>+'5.a. mell. Jogalkotás'!E25</f>
        <v>0</v>
      </c>
      <c r="I11" s="430">
        <f>+'5.a. mell. Jogalkotás'!F25</f>
        <v>8008</v>
      </c>
      <c r="J11" s="639">
        <f>+'5.b. mell. VF saját forrásból'!D25</f>
        <v>538</v>
      </c>
      <c r="K11" s="640">
        <f>+'5.b. mell. VF saját forrásból'!E25</f>
        <v>0</v>
      </c>
      <c r="L11" s="640">
        <f>+'5.b. mell. VF saját forrásból'!F25</f>
        <v>538</v>
      </c>
      <c r="M11" s="639">
        <f>+'5.c. mell. VF Eu forrásból'!D25</f>
        <v>2002</v>
      </c>
      <c r="N11" s="640">
        <f>+'5.c. mell. VF Eu forrásból'!E25</f>
        <v>178</v>
      </c>
      <c r="O11" s="641">
        <f>+'5.c. mell. VF Eu forrásból'!F25</f>
        <v>2180</v>
      </c>
      <c r="P11" s="642">
        <f>+'5.d. mell. Védőnő, EÜ'!D25</f>
        <v>2448</v>
      </c>
      <c r="Q11" s="640">
        <f>+'5.d. mell. Védőnő, EÜ'!E25</f>
        <v>0</v>
      </c>
      <c r="R11" s="432">
        <f>+'5.d. mell. Védőnő, EÜ'!F25</f>
        <v>2448</v>
      </c>
      <c r="S11" s="429"/>
      <c r="T11" s="428"/>
      <c r="U11" s="430"/>
      <c r="V11" s="429"/>
      <c r="W11" s="428"/>
      <c r="X11" s="430"/>
      <c r="Y11" s="431">
        <f>+'5.g. mell. Egyéb tev.'!D25</f>
        <v>92368</v>
      </c>
      <c r="Z11" s="428">
        <f>+'5.g. mell. Egyéb tev.'!E25</f>
        <v>34022</v>
      </c>
      <c r="AA11" s="430">
        <f>+'5.g. mell. Egyéb tev.'!F25</f>
        <v>126390</v>
      </c>
      <c r="AB11" s="194"/>
      <c r="AC11" s="194"/>
    </row>
    <row r="12" spans="1:29" s="37" customFormat="1" ht="12.75" customHeight="1" x14ac:dyDescent="0.2">
      <c r="A12" s="408" t="s">
        <v>71</v>
      </c>
      <c r="B12" s="1234" t="s">
        <v>155</v>
      </c>
      <c r="C12" s="1235"/>
      <c r="D12" s="420">
        <f t="shared" si="6"/>
        <v>4702</v>
      </c>
      <c r="E12" s="428">
        <f t="shared" si="0"/>
        <v>0</v>
      </c>
      <c r="F12" s="428">
        <f t="shared" si="5"/>
        <v>4702</v>
      </c>
      <c r="G12" s="429">
        <f>+'5.a. mell. Jogalkotás'!D28</f>
        <v>0</v>
      </c>
      <c r="H12" s="428">
        <f>+'5.a. mell. Jogalkotás'!E28</f>
        <v>0</v>
      </c>
      <c r="I12" s="430">
        <f>+'5.a. mell. Jogalkotás'!F28</f>
        <v>0</v>
      </c>
      <c r="J12" s="639">
        <f>+'5.b. mell. VF saját forrásból'!D28</f>
        <v>0</v>
      </c>
      <c r="K12" s="640">
        <f>+'5.b. mell. VF saját forrásból'!E28</f>
        <v>0</v>
      </c>
      <c r="L12" s="641">
        <f>+'5.b. mell. VF saját forrásból'!F28</f>
        <v>0</v>
      </c>
      <c r="M12" s="639">
        <f>+'5.c. mell. VF Eu forrásból'!D28</f>
        <v>4422</v>
      </c>
      <c r="N12" s="640">
        <f>+'5.c. mell. VF Eu forrásból'!E28</f>
        <v>0</v>
      </c>
      <c r="O12" s="641">
        <f>+'5.c. mell. VF Eu forrásból'!F28</f>
        <v>4422</v>
      </c>
      <c r="P12" s="642">
        <f>+'5.d. mell. Védőnő, EÜ'!D28</f>
        <v>280</v>
      </c>
      <c r="Q12" s="640">
        <f>+'5.d. mell. Védőnő, EÜ'!E28</f>
        <v>0</v>
      </c>
      <c r="R12" s="432">
        <f>+'5.d. mell. Védőnő, EÜ'!F28</f>
        <v>280</v>
      </c>
      <c r="S12" s="429"/>
      <c r="T12" s="428"/>
      <c r="U12" s="430"/>
      <c r="V12" s="429"/>
      <c r="W12" s="428"/>
      <c r="X12" s="430"/>
      <c r="Y12" s="431">
        <f>+'5.g. mell. Egyéb tev.'!D28</f>
        <v>0</v>
      </c>
      <c r="Z12" s="428">
        <f>+'5.g. mell. Egyéb tev.'!E28</f>
        <v>0</v>
      </c>
      <c r="AA12" s="430">
        <f>+'5.g. mell. Egyéb tev.'!F28</f>
        <v>0</v>
      </c>
      <c r="AB12" s="194"/>
      <c r="AC12" s="194"/>
    </row>
    <row r="13" spans="1:29" s="1151" customFormat="1" ht="28.5" customHeight="1" x14ac:dyDescent="0.2">
      <c r="A13" s="408" t="s">
        <v>80</v>
      </c>
      <c r="B13" s="1234" t="s">
        <v>152</v>
      </c>
      <c r="C13" s="1235"/>
      <c r="D13" s="632">
        <f>+G13+J13+M13+P13+S13+V13+Y13</f>
        <v>185292</v>
      </c>
      <c r="E13" s="640">
        <f t="shared" si="0"/>
        <v>5445</v>
      </c>
      <c r="F13" s="640">
        <f t="shared" si="5"/>
        <v>190737</v>
      </c>
      <c r="G13" s="639">
        <f>+'5.a. mell. Jogalkotás'!D34</f>
        <v>932</v>
      </c>
      <c r="H13" s="640">
        <f>+'5.a. mell. Jogalkotás'!E34</f>
        <v>0</v>
      </c>
      <c r="I13" s="641">
        <f>+'5.a. mell. Jogalkotás'!F34</f>
        <v>932</v>
      </c>
      <c r="J13" s="639">
        <f>+'5.b. mell. VF saját forrásból'!D34</f>
        <v>61118</v>
      </c>
      <c r="K13" s="640">
        <f>+'5.b. mell. VF saját forrásból'!E34</f>
        <v>133</v>
      </c>
      <c r="L13" s="641">
        <f>+'5.b. mell. VF saját forrásból'!F34</f>
        <v>61251</v>
      </c>
      <c r="M13" s="639">
        <f>+'5.c. mell. VF Eu forrásból'!D34</f>
        <v>87591</v>
      </c>
      <c r="N13" s="640">
        <f>+'5.c. mell. VF Eu forrásból'!E34</f>
        <v>-24</v>
      </c>
      <c r="O13" s="641">
        <f>+'5.c. mell. VF Eu forrásból'!F34</f>
        <v>87567</v>
      </c>
      <c r="P13" s="642">
        <f>+'5.d. mell. Védőnő, EÜ'!D34</f>
        <v>247</v>
      </c>
      <c r="Q13" s="640">
        <f>+'5.d. mell. Védőnő, EÜ'!E34</f>
        <v>0</v>
      </c>
      <c r="R13" s="1150">
        <f>+'5.d. mell. Védőnő, EÜ'!F34</f>
        <v>247</v>
      </c>
      <c r="S13" s="639"/>
      <c r="T13" s="640"/>
      <c r="U13" s="641"/>
      <c r="V13" s="639"/>
      <c r="W13" s="640"/>
      <c r="X13" s="641"/>
      <c r="Y13" s="642">
        <f>+'5.g. mell. Egyéb tev.'!D34</f>
        <v>35404</v>
      </c>
      <c r="Z13" s="640">
        <f>+'5.g. mell. Egyéb tev.'!E34</f>
        <v>5336</v>
      </c>
      <c r="AA13" s="641">
        <f>+'5.g. mell. Egyéb tev.'!F34</f>
        <v>40740</v>
      </c>
      <c r="AB13" s="804"/>
      <c r="AC13" s="804"/>
    </row>
    <row r="14" spans="1:29" s="37" customFormat="1" ht="12.75" customHeight="1" x14ac:dyDescent="0.2">
      <c r="A14" s="409" t="s">
        <v>81</v>
      </c>
      <c r="B14" s="1224" t="s">
        <v>151</v>
      </c>
      <c r="C14" s="1225"/>
      <c r="D14" s="420">
        <f>+G14+J14+M14+P14+S14+V14+Y14</f>
        <v>302948</v>
      </c>
      <c r="E14" s="419">
        <f t="shared" si="0"/>
        <v>39145</v>
      </c>
      <c r="F14" s="419">
        <f t="shared" si="5"/>
        <v>342093</v>
      </c>
      <c r="G14" s="420">
        <f>SUM(G9:G13)</f>
        <v>10699</v>
      </c>
      <c r="H14" s="419">
        <f t="shared" ref="H14:I14" si="7">SUM(H9:H13)</f>
        <v>0</v>
      </c>
      <c r="I14" s="421">
        <f t="shared" si="7"/>
        <v>10699</v>
      </c>
      <c r="J14" s="420">
        <f>+'5.b. mell. VF saját forrásból'!D35</f>
        <v>61656</v>
      </c>
      <c r="K14" s="419">
        <f>+'5.b. mell. VF saját forrásból'!E35</f>
        <v>133</v>
      </c>
      <c r="L14" s="421">
        <f>+'5.b. mell. VF saját forrásból'!F35</f>
        <v>61789</v>
      </c>
      <c r="M14" s="420">
        <f>SUM(M9:M13)</f>
        <v>94015</v>
      </c>
      <c r="N14" s="419">
        <f t="shared" ref="N14:O14" si="8">SUM(N9:N13)</f>
        <v>154</v>
      </c>
      <c r="O14" s="421">
        <f t="shared" si="8"/>
        <v>94169</v>
      </c>
      <c r="P14" s="422">
        <f>SUM(P9:P13)</f>
        <v>3738</v>
      </c>
      <c r="Q14" s="419">
        <f t="shared" ref="Q14:R14" si="9">SUM(Q9:Q13)</f>
        <v>0</v>
      </c>
      <c r="R14" s="423">
        <f t="shared" si="9"/>
        <v>3738</v>
      </c>
      <c r="S14" s="420"/>
      <c r="T14" s="419"/>
      <c r="U14" s="421"/>
      <c r="V14" s="420"/>
      <c r="W14" s="419"/>
      <c r="X14" s="421"/>
      <c r="Y14" s="422">
        <f>SUM(Y9:Y13)</f>
        <v>132840</v>
      </c>
      <c r="Z14" s="419">
        <f t="shared" ref="Z14:AA14" si="10">SUM(Z9:Z13)</f>
        <v>38858</v>
      </c>
      <c r="AA14" s="421">
        <f t="shared" si="10"/>
        <v>171698</v>
      </c>
      <c r="AB14" s="194"/>
      <c r="AC14" s="194"/>
    </row>
    <row r="15" spans="1:29" x14ac:dyDescent="0.25">
      <c r="A15" s="88"/>
      <c r="B15" s="412"/>
      <c r="C15" s="303"/>
      <c r="D15" s="424"/>
      <c r="E15" s="425"/>
      <c r="F15" s="425"/>
      <c r="G15" s="426"/>
      <c r="H15" s="425"/>
      <c r="I15" s="427"/>
      <c r="J15" s="426"/>
      <c r="K15" s="425"/>
      <c r="L15" s="427"/>
      <c r="M15" s="426"/>
      <c r="N15" s="425"/>
      <c r="O15" s="427"/>
      <c r="P15" s="425"/>
      <c r="Q15" s="425"/>
      <c r="R15" s="425"/>
      <c r="S15" s="426"/>
      <c r="T15" s="425"/>
      <c r="U15" s="427"/>
      <c r="V15" s="426"/>
      <c r="W15" s="425"/>
      <c r="X15" s="427"/>
      <c r="Y15" s="425"/>
      <c r="Z15" s="425"/>
      <c r="AA15" s="427"/>
    </row>
    <row r="16" spans="1:29" s="37" customFormat="1" ht="12.75" customHeight="1" x14ac:dyDescent="0.2">
      <c r="A16" s="409" t="s">
        <v>94</v>
      </c>
      <c r="B16" s="1226" t="s">
        <v>150</v>
      </c>
      <c r="C16" s="1227"/>
      <c r="D16" s="420">
        <f>+G16+J16+M16+P16+S16+V16+Y16</f>
        <v>5883</v>
      </c>
      <c r="E16" s="419">
        <f t="shared" si="0"/>
        <v>0</v>
      </c>
      <c r="F16" s="419">
        <f t="shared" si="5"/>
        <v>5883</v>
      </c>
      <c r="G16" s="420"/>
      <c r="H16" s="419"/>
      <c r="I16" s="421"/>
      <c r="J16" s="420"/>
      <c r="K16" s="419"/>
      <c r="L16" s="421"/>
      <c r="M16" s="420"/>
      <c r="N16" s="419"/>
      <c r="O16" s="421"/>
      <c r="P16" s="422"/>
      <c r="Q16" s="419"/>
      <c r="R16" s="423"/>
      <c r="S16" s="420">
        <f>+'5.e. mell. Szociális ellátások'!C7</f>
        <v>5883</v>
      </c>
      <c r="T16" s="419">
        <f>+'5.e. mell. Szociális ellátások'!D7</f>
        <v>0</v>
      </c>
      <c r="U16" s="421">
        <f>+'5.e. mell. Szociális ellátások'!E7</f>
        <v>5883</v>
      </c>
      <c r="V16" s="420"/>
      <c r="W16" s="419"/>
      <c r="X16" s="421"/>
      <c r="Y16" s="422"/>
      <c r="Z16" s="419"/>
      <c r="AA16" s="421"/>
      <c r="AB16" s="194"/>
      <c r="AC16" s="194"/>
    </row>
    <row r="17" spans="1:29" x14ac:dyDescent="0.25">
      <c r="A17" s="88"/>
      <c r="B17" s="1228"/>
      <c r="C17" s="1229"/>
      <c r="D17" s="424"/>
      <c r="E17" s="425"/>
      <c r="F17" s="425"/>
      <c r="G17" s="426"/>
      <c r="H17" s="425"/>
      <c r="I17" s="427"/>
      <c r="J17" s="426"/>
      <c r="K17" s="425"/>
      <c r="L17" s="427"/>
      <c r="M17" s="426"/>
      <c r="N17" s="425"/>
      <c r="O17" s="427"/>
      <c r="P17" s="425"/>
      <c r="Q17" s="425"/>
      <c r="R17" s="425"/>
      <c r="S17" s="426"/>
      <c r="T17" s="425"/>
      <c r="U17" s="427"/>
      <c r="V17" s="426"/>
      <c r="W17" s="425"/>
      <c r="X17" s="427"/>
      <c r="Y17" s="425"/>
      <c r="Z17" s="425"/>
      <c r="AA17" s="427"/>
    </row>
    <row r="18" spans="1:29" s="37" customFormat="1" ht="12.75" customHeight="1" x14ac:dyDescent="0.2">
      <c r="A18" s="409" t="s">
        <v>108</v>
      </c>
      <c r="B18" s="1224" t="s">
        <v>163</v>
      </c>
      <c r="C18" s="1225"/>
      <c r="D18" s="420">
        <f>+G18+J18+M18+P18+S18+V18+Y18</f>
        <v>669804</v>
      </c>
      <c r="E18" s="419">
        <f t="shared" si="0"/>
        <v>-61030</v>
      </c>
      <c r="F18" s="419">
        <f t="shared" si="5"/>
        <v>608774</v>
      </c>
      <c r="G18" s="420"/>
      <c r="H18" s="419"/>
      <c r="I18" s="421"/>
      <c r="J18" s="420"/>
      <c r="K18" s="419"/>
      <c r="L18" s="421"/>
      <c r="M18" s="420"/>
      <c r="N18" s="419"/>
      <c r="O18" s="421"/>
      <c r="P18" s="422"/>
      <c r="Q18" s="419"/>
      <c r="R18" s="423"/>
      <c r="S18" s="420"/>
      <c r="T18" s="419"/>
      <c r="U18" s="421"/>
      <c r="V18" s="420">
        <f>+'5.f. mell. Átadott pénzeszk.'!C53+'5.f. mell. Átadott pénzeszk.'!F53</f>
        <v>347223</v>
      </c>
      <c r="W18" s="420">
        <f>+'5.f. mell. Átadott pénzeszk.'!D53+'5.f. mell. Átadott pénzeszk.'!G53</f>
        <v>-1231</v>
      </c>
      <c r="X18" s="420">
        <f>+'5.f. mell. Átadott pénzeszk.'!E53+'5.f. mell. Átadott pénzeszk.'!H53</f>
        <v>345992</v>
      </c>
      <c r="Y18" s="422">
        <f>+'5.g. mell. Egyéb tev.'!D72</f>
        <v>322581</v>
      </c>
      <c r="Z18" s="419">
        <f>+'5.g. mell. Egyéb tev.'!E72</f>
        <v>-59799</v>
      </c>
      <c r="AA18" s="421">
        <f>+'5.g. mell. Egyéb tev.'!F72</f>
        <v>262782</v>
      </c>
      <c r="AB18" s="194"/>
      <c r="AC18" s="194"/>
    </row>
    <row r="19" spans="1:29" s="37" customFormat="1" ht="12.75" customHeight="1" x14ac:dyDescent="0.2">
      <c r="A19" s="409"/>
      <c r="B19" s="1234" t="s">
        <v>543</v>
      </c>
      <c r="C19" s="1235"/>
      <c r="D19" s="420">
        <f>+G19+J19+M19+P19+S19+V19+Y19</f>
        <v>309631</v>
      </c>
      <c r="E19" s="419">
        <f t="shared" si="0"/>
        <v>-60299</v>
      </c>
      <c r="F19" s="419">
        <f t="shared" si="5"/>
        <v>249332</v>
      </c>
      <c r="G19" s="420"/>
      <c r="H19" s="419"/>
      <c r="I19" s="421"/>
      <c r="J19" s="420"/>
      <c r="K19" s="419"/>
      <c r="L19" s="421"/>
      <c r="M19" s="420"/>
      <c r="N19" s="419"/>
      <c r="O19" s="421"/>
      <c r="P19" s="422"/>
      <c r="Q19" s="419"/>
      <c r="R19" s="423"/>
      <c r="S19" s="420"/>
      <c r="T19" s="419"/>
      <c r="U19" s="421"/>
      <c r="V19" s="420"/>
      <c r="W19" s="419"/>
      <c r="X19" s="421"/>
      <c r="Y19" s="422">
        <f>+'5.g. mell. Egyéb tev.'!D62</f>
        <v>309631</v>
      </c>
      <c r="Z19" s="419">
        <f>+'5.g. mell. Egyéb tev.'!E62</f>
        <v>-60299</v>
      </c>
      <c r="AA19" s="421">
        <f>+'5.g. mell. Egyéb tev.'!F62</f>
        <v>249332</v>
      </c>
      <c r="AB19" s="194"/>
      <c r="AC19" s="194"/>
    </row>
    <row r="20" spans="1:29" x14ac:dyDescent="0.25">
      <c r="A20" s="88"/>
      <c r="B20" s="412"/>
      <c r="C20" s="303"/>
      <c r="D20" s="424"/>
      <c r="E20" s="425"/>
      <c r="F20" s="425"/>
      <c r="G20" s="426"/>
      <c r="H20" s="425"/>
      <c r="I20" s="427"/>
      <c r="J20" s="426"/>
      <c r="K20" s="425"/>
      <c r="L20" s="427"/>
      <c r="M20" s="426"/>
      <c r="N20" s="425"/>
      <c r="O20" s="427"/>
      <c r="P20" s="425"/>
      <c r="Q20" s="425"/>
      <c r="R20" s="425"/>
      <c r="S20" s="426"/>
      <c r="T20" s="425"/>
      <c r="U20" s="427"/>
      <c r="V20" s="426"/>
      <c r="W20" s="425"/>
      <c r="X20" s="427"/>
      <c r="Y20" s="425"/>
      <c r="Z20" s="425"/>
      <c r="AA20" s="427"/>
    </row>
    <row r="21" spans="1:29" s="37" customFormat="1" ht="12.75" customHeight="1" x14ac:dyDescent="0.2">
      <c r="A21" s="409" t="s">
        <v>123</v>
      </c>
      <c r="B21" s="1224" t="s">
        <v>161</v>
      </c>
      <c r="C21" s="1225"/>
      <c r="D21" s="420">
        <f>+G21+J21+M21+P21+S21+V21+Y21</f>
        <v>474902</v>
      </c>
      <c r="E21" s="419">
        <f>+H21+K21+N21+Q21+T21+W21+Z21</f>
        <v>30917</v>
      </c>
      <c r="F21" s="419">
        <f t="shared" si="5"/>
        <v>505819</v>
      </c>
      <c r="G21" s="420"/>
      <c r="H21" s="419"/>
      <c r="I21" s="421"/>
      <c r="J21" s="420">
        <f>+'5.b. mell. VF saját forrásból'!D53</f>
        <v>248963</v>
      </c>
      <c r="K21" s="419">
        <f>+'5.b. mell. VF saját forrásból'!E53</f>
        <v>30392</v>
      </c>
      <c r="L21" s="421">
        <f>+'5.b. mell. VF saját forrásból'!F53</f>
        <v>279355</v>
      </c>
      <c r="M21" s="420">
        <f>+'5.c. mell. VF Eu forrásból'!D52</f>
        <v>225726</v>
      </c>
      <c r="N21" s="419">
        <f>+'5.c. mell. VF Eu forrásból'!E52</f>
        <v>0</v>
      </c>
      <c r="O21" s="421">
        <f>+'5.c. mell. VF Eu forrásból'!F52</f>
        <v>225726</v>
      </c>
      <c r="P21" s="422">
        <f>+'5.d. mell. Védőnő, EÜ'!D45</f>
        <v>69</v>
      </c>
      <c r="Q21" s="419">
        <f>+'5.d. mell. Védőnő, EÜ'!E45</f>
        <v>0</v>
      </c>
      <c r="R21" s="423">
        <f>+'5.d. mell. Védőnő, EÜ'!F45</f>
        <v>69</v>
      </c>
      <c r="S21" s="420"/>
      <c r="T21" s="419"/>
      <c r="U21" s="421"/>
      <c r="V21" s="420"/>
      <c r="W21" s="419"/>
      <c r="X21" s="421"/>
      <c r="Y21" s="419">
        <f>'5.g. mell. Egyéb tev.'!D82</f>
        <v>144</v>
      </c>
      <c r="Z21" s="419">
        <f>'5.g. mell. Egyéb tev.'!E82</f>
        <v>525</v>
      </c>
      <c r="AA21" s="421">
        <f>'5.g. mell. Egyéb tev.'!F82</f>
        <v>669</v>
      </c>
      <c r="AB21" s="194"/>
      <c r="AC21" s="194"/>
    </row>
    <row r="22" spans="1:29" x14ac:dyDescent="0.25">
      <c r="A22" s="88"/>
      <c r="B22" s="412"/>
      <c r="C22" s="303"/>
      <c r="D22" s="424"/>
      <c r="E22" s="425"/>
      <c r="F22" s="425"/>
      <c r="G22" s="426"/>
      <c r="H22" s="425"/>
      <c r="I22" s="427"/>
      <c r="J22" s="426"/>
      <c r="K22" s="425"/>
      <c r="L22" s="427"/>
      <c r="M22" s="426"/>
      <c r="N22" s="425"/>
      <c r="O22" s="427"/>
      <c r="P22" s="425"/>
      <c r="Q22" s="425"/>
      <c r="R22" s="425"/>
      <c r="S22" s="426"/>
      <c r="T22" s="425"/>
      <c r="U22" s="427"/>
      <c r="V22" s="426"/>
      <c r="W22" s="425"/>
      <c r="X22" s="427"/>
      <c r="Y22" s="425"/>
      <c r="Z22" s="425"/>
      <c r="AA22" s="427"/>
    </row>
    <row r="23" spans="1:29" s="37" customFormat="1" ht="12.75" customHeight="1" x14ac:dyDescent="0.2">
      <c r="A23" s="409" t="s">
        <v>132</v>
      </c>
      <c r="B23" s="1224" t="s">
        <v>160</v>
      </c>
      <c r="C23" s="1225"/>
      <c r="D23" s="420">
        <f>+G23+J23+M23+P23+S23+V23+Y23</f>
        <v>31037</v>
      </c>
      <c r="E23" s="419">
        <f t="shared" si="0"/>
        <v>0</v>
      </c>
      <c r="F23" s="419">
        <f t="shared" si="5"/>
        <v>31037</v>
      </c>
      <c r="G23" s="420"/>
      <c r="H23" s="419"/>
      <c r="I23" s="421"/>
      <c r="J23" s="420">
        <f>+'5.b. mell. VF saját forrásból'!D59</f>
        <v>31037</v>
      </c>
      <c r="K23" s="419">
        <f>+'5.b. mell. VF saját forrásból'!E59</f>
        <v>0</v>
      </c>
      <c r="L23" s="421">
        <f>+'5.b. mell. VF saját forrásból'!F59</f>
        <v>31037</v>
      </c>
      <c r="M23" s="420">
        <f>+'5.c. mell. VF Eu forrásból'!D58</f>
        <v>0</v>
      </c>
      <c r="N23" s="419">
        <f>+'5.c. mell. VF Eu forrásból'!E58</f>
        <v>0</v>
      </c>
      <c r="O23" s="421">
        <f>+'5.c. mell. VF Eu forrásból'!F58</f>
        <v>0</v>
      </c>
      <c r="P23" s="422"/>
      <c r="Q23" s="419"/>
      <c r="R23" s="423"/>
      <c r="S23" s="420"/>
      <c r="T23" s="419"/>
      <c r="U23" s="421"/>
      <c r="V23" s="420"/>
      <c r="W23" s="419"/>
      <c r="X23" s="421"/>
      <c r="Y23" s="422"/>
      <c r="Z23" s="419"/>
      <c r="AA23" s="421"/>
      <c r="AB23" s="194"/>
      <c r="AC23" s="194"/>
    </row>
    <row r="24" spans="1:29" x14ac:dyDescent="0.25">
      <c r="A24" s="88"/>
      <c r="B24" s="412"/>
      <c r="C24" s="303"/>
      <c r="D24" s="424"/>
      <c r="E24" s="425"/>
      <c r="F24" s="425"/>
      <c r="G24" s="426"/>
      <c r="H24" s="425"/>
      <c r="I24" s="427"/>
      <c r="J24" s="426"/>
      <c r="K24" s="425"/>
      <c r="L24" s="427"/>
      <c r="M24" s="426"/>
      <c r="N24" s="425"/>
      <c r="O24" s="427"/>
      <c r="P24" s="425"/>
      <c r="Q24" s="425"/>
      <c r="R24" s="425"/>
      <c r="S24" s="426"/>
      <c r="T24" s="425"/>
      <c r="U24" s="427"/>
      <c r="V24" s="426"/>
      <c r="W24" s="425"/>
      <c r="X24" s="427"/>
      <c r="Y24" s="425"/>
      <c r="Z24" s="425"/>
      <c r="AA24" s="427"/>
    </row>
    <row r="25" spans="1:29" s="37" customFormat="1" ht="12.75" customHeight="1" x14ac:dyDescent="0.2">
      <c r="A25" s="409" t="s">
        <v>134</v>
      </c>
      <c r="B25" s="1224" t="s">
        <v>158</v>
      </c>
      <c r="C25" s="1225"/>
      <c r="D25" s="420">
        <f>+G25+J25+M25+P25+S25+V25+Y25</f>
        <v>10736</v>
      </c>
      <c r="E25" s="419">
        <f t="shared" si="0"/>
        <v>2518</v>
      </c>
      <c r="F25" s="419">
        <f t="shared" si="5"/>
        <v>13254</v>
      </c>
      <c r="G25" s="420"/>
      <c r="H25" s="419"/>
      <c r="I25" s="421"/>
      <c r="J25" s="420"/>
      <c r="K25" s="419"/>
      <c r="L25" s="421"/>
      <c r="M25" s="420">
        <f>+'5.c. mell. VF Eu forrásból'!D63</f>
        <v>8436</v>
      </c>
      <c r="N25" s="419">
        <f>+'5.c. mell. VF Eu forrásból'!E63</f>
        <v>2518</v>
      </c>
      <c r="O25" s="421">
        <f>+'5.c. mell. VF Eu forrásból'!F63</f>
        <v>10954</v>
      </c>
      <c r="P25" s="422"/>
      <c r="Q25" s="419"/>
      <c r="R25" s="423"/>
      <c r="S25" s="420"/>
      <c r="T25" s="419"/>
      <c r="U25" s="421"/>
      <c r="V25" s="420">
        <f>+'5.f. mell. Átadott pénzeszk.'!I53</f>
        <v>2300</v>
      </c>
      <c r="W25" s="420">
        <f>+'5.f. mell. Átadott pénzeszk.'!J53</f>
        <v>0</v>
      </c>
      <c r="X25" s="420">
        <f>+'5.f. mell. Átadott pénzeszk.'!K53</f>
        <v>2300</v>
      </c>
      <c r="Y25" s="422"/>
      <c r="Z25" s="419"/>
      <c r="AA25" s="421"/>
      <c r="AB25" s="194"/>
      <c r="AC25" s="194"/>
    </row>
    <row r="26" spans="1:29" x14ac:dyDescent="0.25">
      <c r="A26" s="88"/>
      <c r="B26" s="412"/>
      <c r="C26" s="303"/>
      <c r="D26" s="424"/>
      <c r="E26" s="425"/>
      <c r="F26" s="425"/>
      <c r="G26" s="426"/>
      <c r="H26" s="425"/>
      <c r="I26" s="427"/>
      <c r="J26" s="426"/>
      <c r="K26" s="425"/>
      <c r="L26" s="427"/>
      <c r="M26" s="426"/>
      <c r="N26" s="425"/>
      <c r="O26" s="427"/>
      <c r="P26" s="425"/>
      <c r="Q26" s="425"/>
      <c r="R26" s="425"/>
      <c r="S26" s="426"/>
      <c r="T26" s="425"/>
      <c r="U26" s="427"/>
      <c r="V26" s="426"/>
      <c r="W26" s="425"/>
      <c r="X26" s="427"/>
      <c r="Y26" s="425"/>
      <c r="Z26" s="425"/>
      <c r="AA26" s="427"/>
    </row>
    <row r="27" spans="1:29" s="37" customFormat="1" ht="12.75" customHeight="1" x14ac:dyDescent="0.2">
      <c r="A27" s="410" t="s">
        <v>135</v>
      </c>
      <c r="B27" s="1224" t="s">
        <v>157</v>
      </c>
      <c r="C27" s="1225"/>
      <c r="D27" s="420">
        <f>+G27+J27+M27+P27+S27+V27+Y27</f>
        <v>1567091</v>
      </c>
      <c r="E27" s="419">
        <f t="shared" si="0"/>
        <v>12442</v>
      </c>
      <c r="F27" s="419">
        <f t="shared" si="5"/>
        <v>1579533</v>
      </c>
      <c r="G27" s="420">
        <f>+G25+G23+G21+G18+G16+G14+G7+G5</f>
        <v>58808</v>
      </c>
      <c r="H27" s="419">
        <f t="shared" ref="H27:AA27" si="11">+H25+H23+H21+H18+H16+H14+H7+H5</f>
        <v>892</v>
      </c>
      <c r="I27" s="421">
        <f t="shared" si="11"/>
        <v>59700</v>
      </c>
      <c r="J27" s="420">
        <f t="shared" si="11"/>
        <v>341656</v>
      </c>
      <c r="K27" s="419">
        <f t="shared" si="11"/>
        <v>30525</v>
      </c>
      <c r="L27" s="421">
        <f t="shared" si="11"/>
        <v>372181</v>
      </c>
      <c r="M27" s="420">
        <f t="shared" si="11"/>
        <v>329384</v>
      </c>
      <c r="N27" s="419">
        <f t="shared" si="11"/>
        <v>2672</v>
      </c>
      <c r="O27" s="421">
        <f t="shared" si="11"/>
        <v>332056</v>
      </c>
      <c r="P27" s="422">
        <f t="shared" si="11"/>
        <v>25523</v>
      </c>
      <c r="Q27" s="419">
        <f t="shared" si="11"/>
        <v>0</v>
      </c>
      <c r="R27" s="423">
        <f t="shared" si="11"/>
        <v>25523</v>
      </c>
      <c r="S27" s="420">
        <f t="shared" si="11"/>
        <v>5883</v>
      </c>
      <c r="T27" s="419">
        <f t="shared" si="11"/>
        <v>0</v>
      </c>
      <c r="U27" s="421">
        <f t="shared" si="11"/>
        <v>5883</v>
      </c>
      <c r="V27" s="420">
        <f t="shared" si="11"/>
        <v>349523</v>
      </c>
      <c r="W27" s="419">
        <f t="shared" si="11"/>
        <v>-1231</v>
      </c>
      <c r="X27" s="421">
        <f t="shared" si="11"/>
        <v>348292</v>
      </c>
      <c r="Y27" s="635">
        <f t="shared" si="11"/>
        <v>456314</v>
      </c>
      <c r="Z27" s="633">
        <f t="shared" si="11"/>
        <v>-20416</v>
      </c>
      <c r="AA27" s="633">
        <f t="shared" si="11"/>
        <v>435898</v>
      </c>
      <c r="AB27" s="194"/>
      <c r="AC27" s="194"/>
    </row>
    <row r="28" spans="1:29" ht="9.75" customHeight="1" x14ac:dyDescent="0.25">
      <c r="A28" s="89"/>
      <c r="B28" s="413"/>
      <c r="C28" s="305"/>
      <c r="D28" s="424"/>
      <c r="E28" s="425"/>
      <c r="F28" s="425"/>
      <c r="G28" s="426"/>
      <c r="H28" s="425"/>
      <c r="I28" s="427"/>
      <c r="J28" s="426"/>
      <c r="K28" s="425"/>
      <c r="L28" s="427"/>
      <c r="M28" s="426"/>
      <c r="N28" s="425"/>
      <c r="O28" s="427"/>
      <c r="P28" s="425"/>
      <c r="Q28" s="425"/>
      <c r="R28" s="425"/>
      <c r="S28" s="426"/>
      <c r="T28" s="425"/>
      <c r="U28" s="427"/>
      <c r="V28" s="426"/>
      <c r="W28" s="425"/>
      <c r="X28" s="427"/>
      <c r="Y28" s="637"/>
      <c r="Z28" s="637"/>
      <c r="AA28" s="638"/>
    </row>
    <row r="29" spans="1:29" s="37" customFormat="1" ht="13.5" thickBot="1" x14ac:dyDescent="0.25">
      <c r="A29" s="411" t="s">
        <v>268</v>
      </c>
      <c r="B29" s="1230" t="s">
        <v>274</v>
      </c>
      <c r="C29" s="1231"/>
      <c r="D29" s="433">
        <f>+G29+J29+M29+P29+S29+V29+Y29</f>
        <v>459547</v>
      </c>
      <c r="E29" s="434">
        <f t="shared" si="0"/>
        <v>426</v>
      </c>
      <c r="F29" s="434">
        <f t="shared" si="5"/>
        <v>459973</v>
      </c>
      <c r="G29" s="435"/>
      <c r="H29" s="436"/>
      <c r="I29" s="437"/>
      <c r="J29" s="433">
        <f>+'5.b. mell. VF saját forrásból'!D68</f>
        <v>0</v>
      </c>
      <c r="K29" s="433">
        <f>+'5.b. mell. VF saját forrásból'!E68</f>
        <v>0</v>
      </c>
      <c r="L29" s="433">
        <f>+'5.b. mell. VF saját forrásból'!F68</f>
        <v>0</v>
      </c>
      <c r="M29" s="433"/>
      <c r="N29" s="434"/>
      <c r="O29" s="437"/>
      <c r="P29" s="438"/>
      <c r="Q29" s="434"/>
      <c r="R29" s="439"/>
      <c r="S29" s="433"/>
      <c r="T29" s="434"/>
      <c r="U29" s="437"/>
      <c r="V29" s="433"/>
      <c r="W29" s="434"/>
      <c r="X29" s="437"/>
      <c r="Y29" s="992">
        <f>+'5.g. mell. Egyéb tev.'!AE101</f>
        <v>459547</v>
      </c>
      <c r="Z29" s="993">
        <f>+'5.g. mell. Egyéb tev.'!AF101</f>
        <v>426</v>
      </c>
      <c r="AA29" s="994">
        <f>+'5.g. mell. Egyéb tev.'!AG101</f>
        <v>459973</v>
      </c>
      <c r="AB29" s="194"/>
      <c r="AC29" s="194"/>
    </row>
    <row r="30" spans="1:29" s="37" customFormat="1" ht="18.75" customHeight="1" thickBot="1" x14ac:dyDescent="0.25">
      <c r="A30" s="1221" t="s">
        <v>565</v>
      </c>
      <c r="B30" s="1222"/>
      <c r="C30" s="1223"/>
      <c r="D30" s="440">
        <f t="shared" ref="D30:AA30" si="12">+D29+D27</f>
        <v>2026638</v>
      </c>
      <c r="E30" s="440">
        <f t="shared" si="12"/>
        <v>12868</v>
      </c>
      <c r="F30" s="440">
        <f t="shared" si="12"/>
        <v>2039506</v>
      </c>
      <c r="G30" s="440">
        <f t="shared" si="12"/>
        <v>58808</v>
      </c>
      <c r="H30" s="440">
        <f t="shared" si="12"/>
        <v>892</v>
      </c>
      <c r="I30" s="440">
        <f t="shared" si="12"/>
        <v>59700</v>
      </c>
      <c r="J30" s="440">
        <f t="shared" si="12"/>
        <v>341656</v>
      </c>
      <c r="K30" s="440">
        <f t="shared" si="12"/>
        <v>30525</v>
      </c>
      <c r="L30" s="440">
        <f t="shared" si="12"/>
        <v>372181</v>
      </c>
      <c r="M30" s="440">
        <f t="shared" si="12"/>
        <v>329384</v>
      </c>
      <c r="N30" s="440">
        <f t="shared" si="12"/>
        <v>2672</v>
      </c>
      <c r="O30" s="440">
        <f t="shared" si="12"/>
        <v>332056</v>
      </c>
      <c r="P30" s="440">
        <f t="shared" si="12"/>
        <v>25523</v>
      </c>
      <c r="Q30" s="440">
        <f t="shared" si="12"/>
        <v>0</v>
      </c>
      <c r="R30" s="440">
        <f t="shared" si="12"/>
        <v>25523</v>
      </c>
      <c r="S30" s="440">
        <f t="shared" si="12"/>
        <v>5883</v>
      </c>
      <c r="T30" s="440">
        <f t="shared" si="12"/>
        <v>0</v>
      </c>
      <c r="U30" s="440">
        <f t="shared" si="12"/>
        <v>5883</v>
      </c>
      <c r="V30" s="440">
        <f t="shared" si="12"/>
        <v>349523</v>
      </c>
      <c r="W30" s="440">
        <f t="shared" si="12"/>
        <v>-1231</v>
      </c>
      <c r="X30" s="440">
        <f t="shared" si="12"/>
        <v>348292</v>
      </c>
      <c r="Y30" s="440">
        <f t="shared" si="12"/>
        <v>915861</v>
      </c>
      <c r="Z30" s="440">
        <f t="shared" si="12"/>
        <v>-19990</v>
      </c>
      <c r="AA30" s="440">
        <f t="shared" si="12"/>
        <v>895871</v>
      </c>
      <c r="AB30" s="194"/>
      <c r="AC30" s="194"/>
    </row>
  </sheetData>
  <mergeCells count="30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r:id="rId1"/>
  <headerFooter>
    <oddHeader>&amp;C&amp;"Times New Roman,Félkövér"&amp;12Martonvásár Város Önkormányzatának kiadásai 2021.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I29" sqref="I29"/>
    </sheetView>
  </sheetViews>
  <sheetFormatPr defaultColWidth="9.140625" defaultRowHeight="15" x14ac:dyDescent="0.25"/>
  <cols>
    <col min="1" max="1" width="13" style="20" customWidth="1"/>
    <col min="2" max="3" width="13" style="21" customWidth="1"/>
    <col min="4" max="4" width="11" style="17" customWidth="1"/>
    <col min="5" max="5" width="11" style="831" customWidth="1"/>
    <col min="6" max="6" width="11" style="615" customWidth="1"/>
    <col min="7" max="16384" width="9.140625" style="1"/>
  </cols>
  <sheetData>
    <row r="1" spans="1:9" ht="15.75" customHeight="1" x14ac:dyDescent="0.25">
      <c r="D1" s="1237" t="s">
        <v>383</v>
      </c>
      <c r="E1" s="1237"/>
      <c r="F1" s="1237"/>
    </row>
    <row r="2" spans="1:9" ht="24.75" customHeight="1" x14ac:dyDescent="0.25">
      <c r="A2" s="1246" t="s">
        <v>0</v>
      </c>
      <c r="B2" s="1246" t="s">
        <v>182</v>
      </c>
      <c r="C2" s="1246"/>
      <c r="D2" s="1241" t="s">
        <v>176</v>
      </c>
      <c r="E2" s="1242"/>
      <c r="F2" s="1243"/>
    </row>
    <row r="3" spans="1:9" s="2" customFormat="1" x14ac:dyDescent="0.25">
      <c r="A3" s="1246"/>
      <c r="B3" s="1246"/>
      <c r="C3" s="1246"/>
      <c r="D3" s="947" t="s">
        <v>915</v>
      </c>
      <c r="E3" s="823" t="s">
        <v>684</v>
      </c>
      <c r="F3" s="984" t="s">
        <v>940</v>
      </c>
    </row>
    <row r="4" spans="1:9" s="2" customFormat="1" x14ac:dyDescent="0.25">
      <c r="A4" s="1246"/>
      <c r="B4" s="1246"/>
      <c r="C4" s="1246"/>
      <c r="D4" s="1244" t="s">
        <v>189</v>
      </c>
      <c r="E4" s="1244"/>
      <c r="F4" s="1244"/>
    </row>
    <row r="5" spans="1:9" ht="12" customHeight="1" x14ac:dyDescent="0.25">
      <c r="A5" s="5" t="s">
        <v>27</v>
      </c>
      <c r="B5" s="1240" t="s">
        <v>174</v>
      </c>
      <c r="C5" s="1240"/>
      <c r="D5" s="311"/>
      <c r="E5" s="827"/>
      <c r="F5" s="1029">
        <f>+E5+D5</f>
        <v>0</v>
      </c>
    </row>
    <row r="6" spans="1:9" ht="12" customHeight="1" x14ac:dyDescent="0.25">
      <c r="A6" s="5" t="s">
        <v>33</v>
      </c>
      <c r="B6" s="1240" t="s">
        <v>173</v>
      </c>
      <c r="C6" s="1240"/>
      <c r="D6" s="445">
        <v>41097</v>
      </c>
      <c r="E6" s="445">
        <f>725+58</f>
        <v>783</v>
      </c>
      <c r="F6" s="1030">
        <f>D6+E6</f>
        <v>41880</v>
      </c>
    </row>
    <row r="7" spans="1:9" ht="12" customHeight="1" x14ac:dyDescent="0.25">
      <c r="A7" s="6" t="s">
        <v>34</v>
      </c>
      <c r="B7" s="1239" t="s">
        <v>172</v>
      </c>
      <c r="C7" s="1239"/>
      <c r="D7" s="312">
        <f>SUM(D5:D6)</f>
        <v>41097</v>
      </c>
      <c r="E7" s="312">
        <f t="shared" ref="E7:F7" si="0">SUM(E5:E6)</f>
        <v>783</v>
      </c>
      <c r="F7" s="1031">
        <f t="shared" si="0"/>
        <v>41880</v>
      </c>
    </row>
    <row r="8" spans="1:9" ht="12" customHeight="1" x14ac:dyDescent="0.25">
      <c r="A8" s="7"/>
      <c r="B8" s="8"/>
      <c r="C8" s="8"/>
      <c r="D8" s="18"/>
      <c r="E8" s="828"/>
      <c r="F8" s="1032"/>
    </row>
    <row r="9" spans="1:9" ht="12" customHeight="1" x14ac:dyDescent="0.25">
      <c r="A9" s="5" t="s">
        <v>35</v>
      </c>
      <c r="B9" s="1240" t="s">
        <v>171</v>
      </c>
      <c r="C9" s="1240"/>
      <c r="D9" s="309">
        <v>7012</v>
      </c>
      <c r="E9" s="309">
        <f>101+8</f>
        <v>109</v>
      </c>
      <c r="F9" s="1030">
        <f>D9+E9</f>
        <v>7121</v>
      </c>
      <c r="I9" s="831"/>
    </row>
    <row r="10" spans="1:9" ht="12" customHeight="1" x14ac:dyDescent="0.25">
      <c r="A10" s="91"/>
      <c r="B10" s="19"/>
      <c r="C10" s="11"/>
      <c r="D10" s="313"/>
      <c r="E10" s="829"/>
      <c r="F10" s="1033"/>
    </row>
    <row r="11" spans="1:9" ht="12" customHeight="1" x14ac:dyDescent="0.25">
      <c r="A11" s="12" t="s">
        <v>42</v>
      </c>
      <c r="B11" s="1238" t="s">
        <v>41</v>
      </c>
      <c r="C11" s="1238"/>
      <c r="D11" s="314">
        <v>103</v>
      </c>
      <c r="E11" s="315"/>
      <c r="F11" s="1034">
        <f>D11+E11</f>
        <v>103</v>
      </c>
    </row>
    <row r="12" spans="1:9" ht="12" customHeight="1" x14ac:dyDescent="0.25">
      <c r="A12" s="4" t="s">
        <v>44</v>
      </c>
      <c r="B12" s="1236" t="s">
        <v>43</v>
      </c>
      <c r="C12" s="1236"/>
      <c r="D12" s="315">
        <v>1350</v>
      </c>
      <c r="E12" s="315"/>
      <c r="F12" s="1034">
        <f t="shared" ref="F12:F16" si="1">D12+E12</f>
        <v>1350</v>
      </c>
    </row>
    <row r="13" spans="1:9" ht="12" customHeight="1" x14ac:dyDescent="0.25">
      <c r="A13" s="4" t="s">
        <v>46</v>
      </c>
      <c r="B13" s="1236" t="s">
        <v>45</v>
      </c>
      <c r="C13" s="1236"/>
      <c r="D13" s="315"/>
      <c r="E13" s="309"/>
      <c r="F13" s="1034">
        <f t="shared" si="1"/>
        <v>0</v>
      </c>
    </row>
    <row r="14" spans="1:9" s="38" customFormat="1" ht="12" customHeight="1" x14ac:dyDescent="0.25">
      <c r="A14" s="5" t="s">
        <v>47</v>
      </c>
      <c r="B14" s="1240" t="s">
        <v>170</v>
      </c>
      <c r="C14" s="1240"/>
      <c r="D14" s="309">
        <f>SUM(D11:D13)</f>
        <v>1453</v>
      </c>
      <c r="E14" s="309">
        <f t="shared" ref="E14:F14" si="2">SUM(E11:E13)</f>
        <v>0</v>
      </c>
      <c r="F14" s="1035">
        <f t="shared" si="2"/>
        <v>1453</v>
      </c>
    </row>
    <row r="15" spans="1:9" ht="12" customHeight="1" x14ac:dyDescent="0.25">
      <c r="A15" s="4" t="s">
        <v>49</v>
      </c>
      <c r="B15" s="1236" t="s">
        <v>48</v>
      </c>
      <c r="C15" s="1236"/>
      <c r="D15" s="315">
        <v>106</v>
      </c>
      <c r="E15" s="315"/>
      <c r="F15" s="1034">
        <f t="shared" si="1"/>
        <v>106</v>
      </c>
    </row>
    <row r="16" spans="1:9" ht="12" customHeight="1" x14ac:dyDescent="0.25">
      <c r="A16" s="4" t="s">
        <v>51</v>
      </c>
      <c r="B16" s="1236" t="s">
        <v>50</v>
      </c>
      <c r="C16" s="1236"/>
      <c r="D16" s="315">
        <v>200</v>
      </c>
      <c r="E16" s="315"/>
      <c r="F16" s="1034">
        <f t="shared" si="1"/>
        <v>200</v>
      </c>
    </row>
    <row r="17" spans="1:6" s="38" customFormat="1" ht="12" customHeight="1" x14ac:dyDescent="0.25">
      <c r="A17" s="5" t="s">
        <v>52</v>
      </c>
      <c r="B17" s="1240" t="s">
        <v>169</v>
      </c>
      <c r="C17" s="1240"/>
      <c r="D17" s="309">
        <f>SUM(D15:D16)</f>
        <v>306</v>
      </c>
      <c r="E17" s="309">
        <f t="shared" ref="E17:F17" si="3">SUM(E15:E16)</f>
        <v>0</v>
      </c>
      <c r="F17" s="1035">
        <f t="shared" si="3"/>
        <v>306</v>
      </c>
    </row>
    <row r="18" spans="1:6" ht="12" customHeight="1" x14ac:dyDescent="0.25">
      <c r="A18" s="4" t="s">
        <v>54</v>
      </c>
      <c r="B18" s="1236" t="s">
        <v>53</v>
      </c>
      <c r="C18" s="1236"/>
      <c r="D18" s="315"/>
      <c r="E18" s="315"/>
      <c r="F18" s="1034">
        <f>D18+E18</f>
        <v>0</v>
      </c>
    </row>
    <row r="19" spans="1:6" ht="12" customHeight="1" x14ac:dyDescent="0.25">
      <c r="A19" s="4" t="s">
        <v>56</v>
      </c>
      <c r="B19" s="1236" t="s">
        <v>55</v>
      </c>
      <c r="C19" s="1236"/>
      <c r="D19" s="315"/>
      <c r="E19" s="315"/>
      <c r="F19" s="1034">
        <f t="shared" ref="F19:F24" si="4">D19+E19</f>
        <v>0</v>
      </c>
    </row>
    <row r="20" spans="1:6" ht="12" customHeight="1" x14ac:dyDescent="0.25">
      <c r="A20" s="4" t="s">
        <v>57</v>
      </c>
      <c r="B20" s="1236" t="s">
        <v>167</v>
      </c>
      <c r="C20" s="1236"/>
      <c r="D20" s="315"/>
      <c r="E20" s="315"/>
      <c r="F20" s="1034">
        <f t="shared" si="4"/>
        <v>0</v>
      </c>
    </row>
    <row r="21" spans="1:6" ht="12" customHeight="1" x14ac:dyDescent="0.25">
      <c r="A21" s="4" t="s">
        <v>59</v>
      </c>
      <c r="B21" s="1236" t="s">
        <v>58</v>
      </c>
      <c r="C21" s="1236"/>
      <c r="D21" s="315"/>
      <c r="E21" s="315"/>
      <c r="F21" s="1034">
        <f t="shared" si="4"/>
        <v>0</v>
      </c>
    </row>
    <row r="22" spans="1:6" ht="12" customHeight="1" x14ac:dyDescent="0.25">
      <c r="A22" s="4" t="s">
        <v>60</v>
      </c>
      <c r="B22" s="1236" t="s">
        <v>166</v>
      </c>
      <c r="C22" s="1236"/>
      <c r="D22" s="315"/>
      <c r="E22" s="315"/>
      <c r="F22" s="1034">
        <f t="shared" si="4"/>
        <v>0</v>
      </c>
    </row>
    <row r="23" spans="1:6" ht="12" customHeight="1" x14ac:dyDescent="0.25">
      <c r="A23" s="4" t="s">
        <v>63</v>
      </c>
      <c r="B23" s="1236" t="s">
        <v>62</v>
      </c>
      <c r="C23" s="1236"/>
      <c r="D23" s="314">
        <v>1000</v>
      </c>
      <c r="E23" s="315"/>
      <c r="F23" s="1034">
        <f t="shared" si="4"/>
        <v>1000</v>
      </c>
    </row>
    <row r="24" spans="1:6" ht="12" customHeight="1" x14ac:dyDescent="0.25">
      <c r="A24" s="4" t="s">
        <v>65</v>
      </c>
      <c r="B24" s="1236" t="s">
        <v>64</v>
      </c>
      <c r="C24" s="1236"/>
      <c r="D24" s="315">
        <f>3400+78+200+600+2730</f>
        <v>7008</v>
      </c>
      <c r="E24" s="315"/>
      <c r="F24" s="1034">
        <f t="shared" si="4"/>
        <v>7008</v>
      </c>
    </row>
    <row r="25" spans="1:6" s="38" customFormat="1" ht="12" customHeight="1" x14ac:dyDescent="0.25">
      <c r="A25" s="5" t="s">
        <v>66</v>
      </c>
      <c r="B25" s="1240" t="s">
        <v>156</v>
      </c>
      <c r="C25" s="1240"/>
      <c r="D25" s="309">
        <f>+D24+D23+D22+D21+D20+D19+D18</f>
        <v>8008</v>
      </c>
      <c r="E25" s="309">
        <f>SUM(E18:E24)</f>
        <v>0</v>
      </c>
      <c r="F25" s="1035">
        <f>SUM(F18:F24)</f>
        <v>8008</v>
      </c>
    </row>
    <row r="26" spans="1:6" ht="12" customHeight="1" x14ac:dyDescent="0.25">
      <c r="A26" s="4" t="s">
        <v>68</v>
      </c>
      <c r="B26" s="1236" t="s">
        <v>67</v>
      </c>
      <c r="C26" s="1236"/>
      <c r="D26" s="315"/>
      <c r="E26" s="315"/>
      <c r="F26" s="1034">
        <f>D26+E26</f>
        <v>0</v>
      </c>
    </row>
    <row r="27" spans="1:6" ht="12" customHeight="1" x14ac:dyDescent="0.25">
      <c r="A27" s="4" t="s">
        <v>70</v>
      </c>
      <c r="B27" s="1236" t="s">
        <v>69</v>
      </c>
      <c r="C27" s="1236"/>
      <c r="D27" s="315"/>
      <c r="E27" s="315"/>
      <c r="F27" s="1034">
        <f>D27+E27</f>
        <v>0</v>
      </c>
    </row>
    <row r="28" spans="1:6" ht="12" customHeight="1" x14ac:dyDescent="0.25">
      <c r="A28" s="5" t="s">
        <v>71</v>
      </c>
      <c r="B28" s="1240" t="s">
        <v>155</v>
      </c>
      <c r="C28" s="1240"/>
      <c r="D28" s="309">
        <f>SUM(D26:D27)</f>
        <v>0</v>
      </c>
      <c r="E28" s="309">
        <f t="shared" ref="E28:F28" si="5">SUM(E26:E27)</f>
        <v>0</v>
      </c>
      <c r="F28" s="1035">
        <f t="shared" si="5"/>
        <v>0</v>
      </c>
    </row>
    <row r="29" spans="1:6" ht="12" customHeight="1" x14ac:dyDescent="0.25">
      <c r="A29" s="4" t="s">
        <v>73</v>
      </c>
      <c r="B29" s="1236" t="s">
        <v>72</v>
      </c>
      <c r="C29" s="1236"/>
      <c r="D29" s="315">
        <v>912</v>
      </c>
      <c r="E29" s="315"/>
      <c r="F29" s="1034">
        <f>D29+E29</f>
        <v>912</v>
      </c>
    </row>
    <row r="30" spans="1:6" ht="12" customHeight="1" x14ac:dyDescent="0.25">
      <c r="A30" s="4" t="s">
        <v>75</v>
      </c>
      <c r="B30" s="1236" t="s">
        <v>74</v>
      </c>
      <c r="C30" s="1236"/>
      <c r="D30" s="315"/>
      <c r="E30" s="315"/>
      <c r="F30" s="1034">
        <f t="shared" ref="F30:F33" si="6">D30+E30</f>
        <v>0</v>
      </c>
    </row>
    <row r="31" spans="1:6" ht="12" customHeight="1" x14ac:dyDescent="0.25">
      <c r="A31" s="4" t="s">
        <v>76</v>
      </c>
      <c r="B31" s="1236" t="s">
        <v>154</v>
      </c>
      <c r="C31" s="1236"/>
      <c r="D31" s="315"/>
      <c r="E31" s="315"/>
      <c r="F31" s="1034">
        <f t="shared" si="6"/>
        <v>0</v>
      </c>
    </row>
    <row r="32" spans="1:6" ht="12" customHeight="1" x14ac:dyDescent="0.25">
      <c r="A32" s="4" t="s">
        <v>77</v>
      </c>
      <c r="B32" s="1236" t="s">
        <v>153</v>
      </c>
      <c r="C32" s="1236"/>
      <c r="D32" s="315"/>
      <c r="E32" s="315"/>
      <c r="F32" s="1034">
        <f t="shared" si="6"/>
        <v>0</v>
      </c>
    </row>
    <row r="33" spans="1:6" ht="12" customHeight="1" x14ac:dyDescent="0.25">
      <c r="A33" s="4" t="s">
        <v>79</v>
      </c>
      <c r="B33" s="1236" t="s">
        <v>78</v>
      </c>
      <c r="C33" s="1236"/>
      <c r="D33" s="315">
        <v>20</v>
      </c>
      <c r="E33" s="315"/>
      <c r="F33" s="1034">
        <f t="shared" si="6"/>
        <v>20</v>
      </c>
    </row>
    <row r="34" spans="1:6" ht="12" customHeight="1" x14ac:dyDescent="0.25">
      <c r="A34" s="5" t="s">
        <v>80</v>
      </c>
      <c r="B34" s="1240" t="s">
        <v>152</v>
      </c>
      <c r="C34" s="1240"/>
      <c r="D34" s="309">
        <f>SUM(D29:D33)</f>
        <v>932</v>
      </c>
      <c r="E34" s="309">
        <f t="shared" ref="E34:F34" si="7">SUM(E29:E33)</f>
        <v>0</v>
      </c>
      <c r="F34" s="1035">
        <f t="shared" si="7"/>
        <v>932</v>
      </c>
    </row>
    <row r="35" spans="1:6" ht="12" customHeight="1" x14ac:dyDescent="0.25">
      <c r="A35" s="6" t="s">
        <v>81</v>
      </c>
      <c r="B35" s="1239" t="s">
        <v>151</v>
      </c>
      <c r="C35" s="1239"/>
      <c r="D35" s="310">
        <f>+D34+D28+D25+D17+D14</f>
        <v>10699</v>
      </c>
      <c r="E35" s="309">
        <f t="shared" ref="E35:F35" si="8">E14+E17+E25+E34</f>
        <v>0</v>
      </c>
      <c r="F35" s="1036">
        <f t="shared" si="8"/>
        <v>10699</v>
      </c>
    </row>
    <row r="36" spans="1:6" ht="12" customHeight="1" x14ac:dyDescent="0.25">
      <c r="A36" s="7"/>
      <c r="B36" s="8"/>
      <c r="C36" s="8"/>
      <c r="D36" s="316"/>
      <c r="E36" s="309"/>
      <c r="F36" s="1032"/>
    </row>
    <row r="37" spans="1:6" ht="12" hidden="1" customHeight="1" x14ac:dyDescent="0.25">
      <c r="A37" s="4" t="s">
        <v>96</v>
      </c>
      <c r="B37" s="1245" t="s">
        <v>95</v>
      </c>
      <c r="C37" s="1245"/>
      <c r="D37" s="315"/>
      <c r="E37" s="309"/>
      <c r="F37" s="942"/>
    </row>
    <row r="38" spans="1:6" ht="12" hidden="1" customHeight="1" x14ac:dyDescent="0.25">
      <c r="A38" s="4" t="s">
        <v>98</v>
      </c>
      <c r="B38" s="1245" t="s">
        <v>184</v>
      </c>
      <c r="C38" s="1245"/>
      <c r="D38" s="315"/>
      <c r="E38" s="309"/>
      <c r="F38" s="942"/>
    </row>
    <row r="39" spans="1:6" ht="12" hidden="1" customHeight="1" x14ac:dyDescent="0.25">
      <c r="A39" s="4" t="s">
        <v>101</v>
      </c>
      <c r="B39" s="1245" t="s">
        <v>165</v>
      </c>
      <c r="C39" s="1245"/>
      <c r="D39" s="315"/>
      <c r="E39" s="309"/>
      <c r="F39" s="942"/>
    </row>
    <row r="40" spans="1:6" ht="12" hidden="1" customHeight="1" x14ac:dyDescent="0.25">
      <c r="A40" s="4" t="s">
        <v>103</v>
      </c>
      <c r="B40" s="1245" t="s">
        <v>183</v>
      </c>
      <c r="C40" s="1245"/>
      <c r="D40" s="315"/>
      <c r="E40" s="309"/>
      <c r="F40" s="942"/>
    </row>
    <row r="41" spans="1:6" ht="12" hidden="1" customHeight="1" x14ac:dyDescent="0.25">
      <c r="A41" s="4" t="s">
        <v>107</v>
      </c>
      <c r="B41" s="1245" t="s">
        <v>164</v>
      </c>
      <c r="C41" s="1245"/>
      <c r="D41" s="315"/>
      <c r="E41" s="309"/>
      <c r="F41" s="942"/>
    </row>
    <row r="42" spans="1:6" ht="12" hidden="1" customHeight="1" x14ac:dyDescent="0.25">
      <c r="A42" s="4" t="s">
        <v>602</v>
      </c>
      <c r="B42" s="1236" t="s">
        <v>106</v>
      </c>
      <c r="C42" s="1236"/>
      <c r="D42" s="315"/>
      <c r="E42" s="309"/>
      <c r="F42" s="942"/>
    </row>
    <row r="43" spans="1:6" ht="12" customHeight="1" x14ac:dyDescent="0.25">
      <c r="A43" s="6" t="s">
        <v>108</v>
      </c>
      <c r="B43" s="1239" t="s">
        <v>163</v>
      </c>
      <c r="C43" s="1239"/>
      <c r="D43" s="310">
        <f>+D42+D41+D40+D39+D38+D37</f>
        <v>0</v>
      </c>
      <c r="E43" s="309"/>
      <c r="F43" s="1037"/>
    </row>
    <row r="44" spans="1:6" ht="12" customHeight="1" x14ac:dyDescent="0.25">
      <c r="A44" s="7"/>
      <c r="B44" s="8"/>
      <c r="C44" s="8"/>
      <c r="D44" s="316"/>
      <c r="E44" s="309"/>
      <c r="F44" s="1032"/>
    </row>
    <row r="45" spans="1:6" ht="12" hidden="1" customHeight="1" x14ac:dyDescent="0.25">
      <c r="A45" s="12" t="s">
        <v>110</v>
      </c>
      <c r="B45" s="1238" t="s">
        <v>109</v>
      </c>
      <c r="C45" s="1238"/>
      <c r="D45" s="314"/>
      <c r="E45" s="309"/>
      <c r="F45" s="1038"/>
    </row>
    <row r="46" spans="1:6" ht="12" hidden="1" customHeight="1" x14ac:dyDescent="0.25">
      <c r="A46" s="4" t="s">
        <v>111</v>
      </c>
      <c r="B46" s="1236" t="s">
        <v>162</v>
      </c>
      <c r="C46" s="1236"/>
      <c r="D46" s="315"/>
      <c r="E46" s="309"/>
      <c r="F46" s="942"/>
    </row>
    <row r="47" spans="1:6" ht="12" hidden="1" customHeight="1" x14ac:dyDescent="0.25">
      <c r="A47" s="4" t="s">
        <v>114</v>
      </c>
      <c r="B47" s="1236" t="s">
        <v>113</v>
      </c>
      <c r="C47" s="1236"/>
      <c r="D47" s="315"/>
      <c r="E47" s="309"/>
      <c r="F47" s="942"/>
    </row>
    <row r="48" spans="1:6" ht="12" hidden="1" customHeight="1" x14ac:dyDescent="0.25">
      <c r="A48" s="4" t="s">
        <v>116</v>
      </c>
      <c r="B48" s="1236" t="s">
        <v>115</v>
      </c>
      <c r="C48" s="1236"/>
      <c r="D48" s="315"/>
      <c r="E48" s="309"/>
      <c r="F48" s="942"/>
    </row>
    <row r="49" spans="1:6" ht="12" hidden="1" customHeight="1" x14ac:dyDescent="0.25">
      <c r="A49" s="4" t="s">
        <v>118</v>
      </c>
      <c r="B49" s="1236" t="s">
        <v>117</v>
      </c>
      <c r="C49" s="1236"/>
      <c r="D49" s="315"/>
      <c r="E49" s="309"/>
      <c r="F49" s="942"/>
    </row>
    <row r="50" spans="1:6" ht="12" hidden="1" customHeight="1" x14ac:dyDescent="0.25">
      <c r="A50" s="4" t="s">
        <v>120</v>
      </c>
      <c r="B50" s="1236" t="s">
        <v>119</v>
      </c>
      <c r="C50" s="1236"/>
      <c r="D50" s="315"/>
      <c r="E50" s="309"/>
      <c r="F50" s="942"/>
    </row>
    <row r="51" spans="1:6" ht="12" hidden="1" customHeight="1" x14ac:dyDescent="0.25">
      <c r="A51" s="4" t="s">
        <v>122</v>
      </c>
      <c r="B51" s="1236" t="s">
        <v>121</v>
      </c>
      <c r="C51" s="1236"/>
      <c r="D51" s="315"/>
      <c r="E51" s="309"/>
      <c r="F51" s="942"/>
    </row>
    <row r="52" spans="1:6" ht="12" customHeight="1" x14ac:dyDescent="0.25">
      <c r="A52" s="6" t="s">
        <v>123</v>
      </c>
      <c r="B52" s="1239" t="s">
        <v>161</v>
      </c>
      <c r="C52" s="1239"/>
      <c r="D52" s="856">
        <f>+D51+D50+D49+D48+D47+D46+D45</f>
        <v>0</v>
      </c>
      <c r="E52" s="309"/>
      <c r="F52" s="1037"/>
    </row>
    <row r="53" spans="1:6" ht="12" customHeight="1" x14ac:dyDescent="0.25">
      <c r="A53" s="7"/>
      <c r="B53" s="8"/>
      <c r="C53" s="8"/>
      <c r="D53" s="316"/>
      <c r="E53" s="309"/>
      <c r="F53" s="1032"/>
    </row>
    <row r="54" spans="1:6" ht="12" hidden="1" customHeight="1" x14ac:dyDescent="0.25">
      <c r="A54" s="12" t="s">
        <v>125</v>
      </c>
      <c r="B54" s="1238" t="s">
        <v>124</v>
      </c>
      <c r="C54" s="1238"/>
      <c r="D54" s="314"/>
      <c r="E54" s="309"/>
      <c r="F54" s="1038"/>
    </row>
    <row r="55" spans="1:6" ht="12" hidden="1" customHeight="1" x14ac:dyDescent="0.25">
      <c r="A55" s="4" t="s">
        <v>127</v>
      </c>
      <c r="B55" s="1236" t="s">
        <v>126</v>
      </c>
      <c r="C55" s="1236"/>
      <c r="D55" s="315"/>
      <c r="E55" s="309"/>
      <c r="F55" s="942"/>
    </row>
    <row r="56" spans="1:6" ht="12" hidden="1" customHeight="1" x14ac:dyDescent="0.25">
      <c r="A56" s="4" t="s">
        <v>129</v>
      </c>
      <c r="B56" s="1236" t="s">
        <v>128</v>
      </c>
      <c r="C56" s="1236"/>
      <c r="D56" s="315"/>
      <c r="E56" s="309"/>
      <c r="F56" s="942"/>
    </row>
    <row r="57" spans="1:6" ht="12" hidden="1" customHeight="1" x14ac:dyDescent="0.25">
      <c r="A57" s="4" t="s">
        <v>131</v>
      </c>
      <c r="B57" s="1236" t="s">
        <v>130</v>
      </c>
      <c r="C57" s="1236"/>
      <c r="D57" s="315"/>
      <c r="E57" s="309"/>
      <c r="F57" s="942"/>
    </row>
    <row r="58" spans="1:6" ht="12" customHeight="1" x14ac:dyDescent="0.25">
      <c r="A58" s="5" t="s">
        <v>132</v>
      </c>
      <c r="B58" s="1240" t="s">
        <v>160</v>
      </c>
      <c r="C58" s="1240"/>
      <c r="D58" s="309"/>
      <c r="E58" s="309"/>
      <c r="F58" s="942"/>
    </row>
    <row r="59" spans="1:6" ht="12" customHeight="1" x14ac:dyDescent="0.25">
      <c r="A59" s="7"/>
      <c r="B59" s="15"/>
      <c r="C59" s="15"/>
      <c r="D59" s="316"/>
      <c r="E59" s="309"/>
      <c r="F59" s="1032"/>
    </row>
    <row r="60" spans="1:6" ht="12" hidden="1" customHeight="1" x14ac:dyDescent="0.25">
      <c r="A60" s="91" t="s">
        <v>371</v>
      </c>
      <c r="B60" s="1238" t="s">
        <v>372</v>
      </c>
      <c r="C60" s="1238"/>
      <c r="D60" s="315"/>
      <c r="E60" s="309"/>
      <c r="F60" s="942"/>
    </row>
    <row r="61" spans="1:6" ht="12" hidden="1" customHeight="1" x14ac:dyDescent="0.25">
      <c r="A61" s="91" t="s">
        <v>384</v>
      </c>
      <c r="B61" s="1249" t="s">
        <v>385</v>
      </c>
      <c r="C61" s="1250"/>
      <c r="D61" s="314"/>
      <c r="E61" s="309"/>
      <c r="F61" s="1038"/>
    </row>
    <row r="62" spans="1:6" ht="12" hidden="1" customHeight="1" x14ac:dyDescent="0.25">
      <c r="A62" s="12" t="s">
        <v>603</v>
      </c>
      <c r="B62" s="1238" t="s">
        <v>159</v>
      </c>
      <c r="C62" s="1238"/>
      <c r="D62" s="314"/>
      <c r="E62" s="309"/>
      <c r="F62" s="1038"/>
    </row>
    <row r="63" spans="1:6" ht="12" customHeight="1" x14ac:dyDescent="0.25">
      <c r="A63" s="14" t="s">
        <v>134</v>
      </c>
      <c r="B63" s="1247" t="s">
        <v>158</v>
      </c>
      <c r="C63" s="1247"/>
      <c r="D63" s="315">
        <f>+D62+D60</f>
        <v>0</v>
      </c>
      <c r="E63" s="309"/>
      <c r="F63" s="806"/>
    </row>
    <row r="64" spans="1:6" ht="12" customHeight="1" thickBot="1" x14ac:dyDescent="0.3">
      <c r="A64" s="39"/>
      <c r="B64" s="40"/>
      <c r="C64" s="40"/>
      <c r="D64" s="317"/>
      <c r="E64" s="309"/>
      <c r="F64" s="1039"/>
    </row>
    <row r="65" spans="1:6" ht="12" customHeight="1" thickBot="1" x14ac:dyDescent="0.3">
      <c r="A65" s="41" t="s">
        <v>135</v>
      </c>
      <c r="B65" s="1248" t="s">
        <v>157</v>
      </c>
      <c r="C65" s="1248"/>
      <c r="D65" s="318">
        <f>+D63+D58+D52+D43+D35+D9+D7</f>
        <v>58808</v>
      </c>
      <c r="E65" s="830">
        <f t="shared" ref="E65:F65" si="9">+E63+E58+E52+E43+E35+E9+E7</f>
        <v>892</v>
      </c>
      <c r="F65" s="1040">
        <f t="shared" si="9"/>
        <v>59700</v>
      </c>
    </row>
  </sheetData>
  <mergeCells count="59"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2021.
Önkormányzati jogalkotás kormányzati funkció&amp;R&amp;"Times New Roman,Félkövér"&amp;12 5/a.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8"/>
  <sheetViews>
    <sheetView zoomScaleNormal="100" workbookViewId="0">
      <pane xSplit="3" ySplit="4" topLeftCell="D5" activePane="bottomRight" state="frozen"/>
      <selection activeCell="B40" sqref="B40"/>
      <selection pane="topRight" activeCell="B40" sqref="B40"/>
      <selection pane="bottomLeft" activeCell="B40" sqref="B40"/>
      <selection pane="bottomRight" activeCell="W33" sqref="W33"/>
    </sheetView>
  </sheetViews>
  <sheetFormatPr defaultColWidth="9.140625" defaultRowHeight="12.75" x14ac:dyDescent="0.2"/>
  <cols>
    <col min="1" max="1" width="8.140625" style="699" customWidth="1"/>
    <col min="2" max="2" width="7.140625" style="21" customWidth="1"/>
    <col min="3" max="3" width="31" style="21" customWidth="1"/>
    <col min="4" max="4" width="8.140625" style="37" customWidth="1"/>
    <col min="5" max="5" width="8.42578125" style="37" customWidth="1"/>
    <col min="6" max="6" width="8.140625" style="37" customWidth="1"/>
    <col min="7" max="7" width="7.5703125" style="17" customWidth="1"/>
    <col min="8" max="8" width="7.140625" style="17" customWidth="1"/>
    <col min="9" max="9" width="8.140625" style="615" customWidth="1"/>
    <col min="10" max="10" width="7.85546875" style="615" customWidth="1"/>
    <col min="11" max="11" width="7.7109375" style="615" customWidth="1"/>
    <col min="12" max="12" width="7.85546875" style="615" customWidth="1"/>
    <col min="13" max="13" width="8.7109375" style="615" customWidth="1"/>
    <col min="14" max="14" width="8" style="615" customWidth="1"/>
    <col min="15" max="15" width="8.140625" style="615" bestFit="1" customWidth="1"/>
    <col min="16" max="16" width="8" style="615" customWidth="1"/>
    <col min="17" max="17" width="7.85546875" style="615" customWidth="1"/>
    <col min="18" max="24" width="7.28515625" style="615" customWidth="1"/>
    <col min="25" max="25" width="8" style="615" customWidth="1"/>
    <col min="26" max="26" width="7.85546875" style="615" customWidth="1"/>
    <col min="27" max="27" width="8.140625" style="615" bestFit="1" customWidth="1"/>
    <col min="28" max="30" width="9.140625" style="615"/>
    <col min="31" max="16384" width="9.140625" style="17"/>
  </cols>
  <sheetData>
    <row r="1" spans="1:30" s="1" customFormat="1" ht="17.25" customHeight="1" thickBot="1" x14ac:dyDescent="0.3">
      <c r="A1" s="699"/>
      <c r="B1" s="21"/>
      <c r="C1" s="21"/>
      <c r="D1" s="38"/>
      <c r="E1" s="38"/>
      <c r="F1" s="38"/>
      <c r="I1" s="739"/>
      <c r="J1" s="739"/>
      <c r="K1" s="739"/>
      <c r="L1" s="739"/>
      <c r="M1" s="739"/>
      <c r="N1" s="739"/>
      <c r="O1" s="739"/>
      <c r="P1" s="964"/>
      <c r="Q1" s="964"/>
      <c r="R1" s="964"/>
      <c r="S1" s="964"/>
      <c r="T1" s="964"/>
      <c r="U1" s="964"/>
      <c r="V1" s="964"/>
      <c r="W1" s="964"/>
      <c r="X1" s="964"/>
      <c r="Y1" s="964" t="s">
        <v>383</v>
      </c>
      <c r="Z1" s="964"/>
      <c r="AA1" s="964"/>
      <c r="AB1" s="739"/>
      <c r="AC1" s="739"/>
      <c r="AD1" s="739"/>
    </row>
    <row r="2" spans="1:30" s="27" customFormat="1" ht="90.75" customHeight="1" x14ac:dyDescent="0.25">
      <c r="A2" s="1260" t="s">
        <v>0</v>
      </c>
      <c r="B2" s="1262" t="s">
        <v>182</v>
      </c>
      <c r="C2" s="1263"/>
      <c r="D2" s="1265" t="s">
        <v>180</v>
      </c>
      <c r="E2" s="1266"/>
      <c r="F2" s="1267"/>
      <c r="G2" s="1268" t="s">
        <v>906</v>
      </c>
      <c r="H2" s="1268"/>
      <c r="I2" s="1269"/>
      <c r="J2" s="1251" t="s">
        <v>888</v>
      </c>
      <c r="K2" s="1251"/>
      <c r="L2" s="1251"/>
      <c r="M2" s="1251" t="s">
        <v>919</v>
      </c>
      <c r="N2" s="1251"/>
      <c r="O2" s="1251"/>
      <c r="P2" s="1251" t="s">
        <v>918</v>
      </c>
      <c r="Q2" s="1251"/>
      <c r="R2" s="1251"/>
      <c r="S2" s="1251" t="s">
        <v>822</v>
      </c>
      <c r="T2" s="1251"/>
      <c r="U2" s="1259"/>
      <c r="V2" s="1251" t="s">
        <v>787</v>
      </c>
      <c r="W2" s="1251"/>
      <c r="X2" s="1251"/>
      <c r="Y2" s="1251" t="s">
        <v>801</v>
      </c>
      <c r="Z2" s="1251"/>
      <c r="AA2" s="1251"/>
      <c r="AB2" s="1251" t="s">
        <v>885</v>
      </c>
      <c r="AC2" s="1251"/>
      <c r="AD2" s="1251"/>
    </row>
    <row r="3" spans="1:30" s="27" customFormat="1" ht="12.75" customHeight="1" x14ac:dyDescent="0.25">
      <c r="A3" s="1261"/>
      <c r="B3" s="1246"/>
      <c r="C3" s="1264"/>
      <c r="D3" s="1270"/>
      <c r="E3" s="1271"/>
      <c r="F3" s="1272"/>
      <c r="G3" s="1273" t="s">
        <v>189</v>
      </c>
      <c r="H3" s="1274"/>
      <c r="I3" s="1274"/>
      <c r="J3" s="1252" t="s">
        <v>189</v>
      </c>
      <c r="K3" s="1252"/>
      <c r="L3" s="1252"/>
      <c r="M3" s="1252" t="s">
        <v>189</v>
      </c>
      <c r="N3" s="1252"/>
      <c r="O3" s="1252"/>
      <c r="P3" s="1252" t="s">
        <v>189</v>
      </c>
      <c r="Q3" s="1252"/>
      <c r="R3" s="1252"/>
      <c r="S3" s="1252" t="s">
        <v>189</v>
      </c>
      <c r="T3" s="1252"/>
      <c r="U3" s="1252"/>
      <c r="V3" s="1252" t="s">
        <v>189</v>
      </c>
      <c r="W3" s="1252"/>
      <c r="X3" s="1252"/>
      <c r="Y3" s="1252" t="s">
        <v>189</v>
      </c>
      <c r="Z3" s="1252"/>
      <c r="AA3" s="1258"/>
      <c r="AB3" s="1252" t="s">
        <v>189</v>
      </c>
      <c r="AC3" s="1252"/>
      <c r="AD3" s="1253"/>
    </row>
    <row r="4" spans="1:30" s="16" customFormat="1" ht="25.5" x14ac:dyDescent="0.25">
      <c r="A4" s="1261"/>
      <c r="B4" s="1246"/>
      <c r="C4" s="1264"/>
      <c r="D4" s="714" t="s">
        <v>944</v>
      </c>
      <c r="E4" s="694" t="s">
        <v>684</v>
      </c>
      <c r="F4" s="704" t="s">
        <v>940</v>
      </c>
      <c r="G4" s="714" t="s">
        <v>944</v>
      </c>
      <c r="H4" s="947" t="s">
        <v>684</v>
      </c>
      <c r="I4" s="1041" t="s">
        <v>940</v>
      </c>
      <c r="J4" s="1045" t="s">
        <v>944</v>
      </c>
      <c r="K4" s="984" t="s">
        <v>684</v>
      </c>
      <c r="L4" s="1041" t="s">
        <v>940</v>
      </c>
      <c r="M4" s="1045" t="s">
        <v>944</v>
      </c>
      <c r="N4" s="984" t="s">
        <v>684</v>
      </c>
      <c r="O4" s="1041" t="s">
        <v>940</v>
      </c>
      <c r="P4" s="1045" t="s">
        <v>944</v>
      </c>
      <c r="Q4" s="984" t="s">
        <v>684</v>
      </c>
      <c r="R4" s="1041" t="s">
        <v>940</v>
      </c>
      <c r="S4" s="1045" t="s">
        <v>944</v>
      </c>
      <c r="T4" s="984" t="s">
        <v>684</v>
      </c>
      <c r="U4" s="1041" t="s">
        <v>940</v>
      </c>
      <c r="V4" s="1045" t="s">
        <v>944</v>
      </c>
      <c r="W4" s="984" t="s">
        <v>684</v>
      </c>
      <c r="X4" s="1041" t="s">
        <v>940</v>
      </c>
      <c r="Y4" s="1045" t="s">
        <v>944</v>
      </c>
      <c r="Z4" s="984" t="s">
        <v>684</v>
      </c>
      <c r="AA4" s="1041" t="s">
        <v>940</v>
      </c>
      <c r="AB4" s="1045" t="s">
        <v>944</v>
      </c>
      <c r="AC4" s="984" t="s">
        <v>684</v>
      </c>
      <c r="AD4" s="1041" t="s">
        <v>940</v>
      </c>
    </row>
    <row r="5" spans="1:30" s="37" customFormat="1" ht="12.75" customHeight="1" x14ac:dyDescent="0.2">
      <c r="A5" s="503" t="s">
        <v>27</v>
      </c>
      <c r="B5" s="1240" t="s">
        <v>174</v>
      </c>
      <c r="C5" s="1225"/>
      <c r="D5" s="560">
        <f>+G5+J5+M5+P5+Y5+V5+AB5+S5</f>
        <v>0</v>
      </c>
      <c r="E5" s="77">
        <f t="shared" ref="E5:F5" si="0">+H5+K5+N5+Q5+Z5+W5+AC5+T5</f>
        <v>0</v>
      </c>
      <c r="F5" s="561">
        <f t="shared" si="0"/>
        <v>0</v>
      </c>
      <c r="G5" s="562"/>
      <c r="H5" s="47"/>
      <c r="I5" s="703">
        <f>+H5+G5</f>
        <v>0</v>
      </c>
      <c r="J5" s="703"/>
      <c r="K5" s="703"/>
      <c r="L5" s="703">
        <f>+K5+J5</f>
        <v>0</v>
      </c>
      <c r="M5" s="703"/>
      <c r="N5" s="703"/>
      <c r="O5" s="703">
        <f>+N5+M5</f>
        <v>0</v>
      </c>
      <c r="P5" s="703"/>
      <c r="Q5" s="703"/>
      <c r="R5" s="703"/>
      <c r="S5" s="703"/>
      <c r="T5" s="703"/>
      <c r="U5" s="703">
        <f>+T5+S5</f>
        <v>0</v>
      </c>
      <c r="V5" s="703"/>
      <c r="W5" s="703"/>
      <c r="X5" s="703">
        <f>+W5+V5</f>
        <v>0</v>
      </c>
      <c r="Y5" s="703"/>
      <c r="Z5" s="703"/>
      <c r="AA5" s="1046">
        <f>+Y5+Z5</f>
        <v>0</v>
      </c>
      <c r="AB5" s="703"/>
      <c r="AC5" s="703"/>
      <c r="AD5" s="1042">
        <f>+AB5+AC5</f>
        <v>0</v>
      </c>
    </row>
    <row r="6" spans="1:30" s="37" customFormat="1" ht="12.75" customHeight="1" x14ac:dyDescent="0.2">
      <c r="A6" s="503" t="s">
        <v>33</v>
      </c>
      <c r="B6" s="1240" t="s">
        <v>173</v>
      </c>
      <c r="C6" s="1225"/>
      <c r="D6" s="560">
        <f t="shared" ref="D6:D7" si="1">+G6+J6+M6+P6+Y6+V6+AB6+S6</f>
        <v>0</v>
      </c>
      <c r="E6" s="77">
        <f t="shared" ref="E6:E7" si="2">+H6+K6+N6+Q6+Z6+W6+AC6+T6</f>
        <v>0</v>
      </c>
      <c r="F6" s="561">
        <f t="shared" ref="F6:F7" si="3">+I6+L6+O6+R6+AA6+X6+AD6+U6</f>
        <v>0</v>
      </c>
      <c r="G6" s="562"/>
      <c r="H6" s="47"/>
      <c r="I6" s="703">
        <f t="shared" ref="I6:I68" si="4">+H6+G6</f>
        <v>0</v>
      </c>
      <c r="J6" s="703"/>
      <c r="K6" s="703"/>
      <c r="L6" s="703">
        <f t="shared" ref="L6:L68" si="5">+K6+J6</f>
        <v>0</v>
      </c>
      <c r="M6" s="703"/>
      <c r="N6" s="703"/>
      <c r="O6" s="703">
        <f t="shared" ref="O6:O66" si="6">+N6+M6</f>
        <v>0</v>
      </c>
      <c r="P6" s="703"/>
      <c r="Q6" s="703"/>
      <c r="R6" s="703"/>
      <c r="S6" s="703"/>
      <c r="T6" s="703"/>
      <c r="U6" s="703">
        <f t="shared" ref="U6" si="7">+T6+S6</f>
        <v>0</v>
      </c>
      <c r="V6" s="703"/>
      <c r="W6" s="703"/>
      <c r="X6" s="703">
        <f t="shared" ref="X6:X68" si="8">+W6+V6</f>
        <v>0</v>
      </c>
      <c r="Y6" s="703"/>
      <c r="Z6" s="703"/>
      <c r="AA6" s="1046">
        <f t="shared" ref="AA6:AA68" si="9">+Y6+Z6</f>
        <v>0</v>
      </c>
      <c r="AB6" s="703"/>
      <c r="AC6" s="703"/>
      <c r="AD6" s="1042">
        <f t="shared" ref="AD6:AD7" si="10">+AB6+AC6</f>
        <v>0</v>
      </c>
    </row>
    <row r="7" spans="1:30" s="37" customFormat="1" ht="12.75" customHeight="1" x14ac:dyDescent="0.2">
      <c r="A7" s="503" t="s">
        <v>34</v>
      </c>
      <c r="B7" s="1240" t="s">
        <v>172</v>
      </c>
      <c r="C7" s="1225"/>
      <c r="D7" s="560">
        <f t="shared" si="1"/>
        <v>0</v>
      </c>
      <c r="E7" s="77">
        <f t="shared" si="2"/>
        <v>0</v>
      </c>
      <c r="F7" s="561">
        <f t="shared" si="3"/>
        <v>0</v>
      </c>
      <c r="G7" s="562">
        <f>SUM(G5:G6)</f>
        <v>0</v>
      </c>
      <c r="H7" s="47">
        <f t="shared" ref="H7:Q7" si="11">SUM(H5:H6)</f>
        <v>0</v>
      </c>
      <c r="I7" s="703">
        <f t="shared" si="4"/>
        <v>0</v>
      </c>
      <c r="J7" s="703">
        <f t="shared" ref="J7" si="12">SUM(J5:J6)</f>
        <v>0</v>
      </c>
      <c r="K7" s="703">
        <f t="shared" si="11"/>
        <v>0</v>
      </c>
      <c r="L7" s="703">
        <f t="shared" si="5"/>
        <v>0</v>
      </c>
      <c r="M7" s="703">
        <f t="shared" ref="M7" si="13">SUM(M5:M6)</f>
        <v>0</v>
      </c>
      <c r="N7" s="703">
        <f t="shared" si="11"/>
        <v>0</v>
      </c>
      <c r="O7" s="703">
        <f t="shared" si="6"/>
        <v>0</v>
      </c>
      <c r="P7" s="703">
        <f t="shared" ref="P7" si="14">SUM(P5:P6)</f>
        <v>0</v>
      </c>
      <c r="Q7" s="703">
        <f t="shared" si="11"/>
        <v>0</v>
      </c>
      <c r="R7" s="703">
        <f t="shared" ref="R7" si="15">+Q7+P7</f>
        <v>0</v>
      </c>
      <c r="S7" s="703">
        <f t="shared" ref="S7:U7" si="16">SUM(S5:S6)</f>
        <v>0</v>
      </c>
      <c r="T7" s="703">
        <f t="shared" si="16"/>
        <v>0</v>
      </c>
      <c r="U7" s="703">
        <f t="shared" si="16"/>
        <v>0</v>
      </c>
      <c r="V7" s="703">
        <f t="shared" ref="V7" si="17">SUM(V5:V6)</f>
        <v>0</v>
      </c>
      <c r="W7" s="703">
        <f t="shared" ref="W7:X7" si="18">SUM(W5:W6)</f>
        <v>0</v>
      </c>
      <c r="X7" s="703">
        <f t="shared" si="18"/>
        <v>0</v>
      </c>
      <c r="Y7" s="703">
        <f t="shared" ref="Y7" si="19">SUM(Y5:Y6)</f>
        <v>0</v>
      </c>
      <c r="Z7" s="703">
        <f t="shared" ref="Z7" si="20">SUM(Z5:Z6)</f>
        <v>0</v>
      </c>
      <c r="AA7" s="1046">
        <f t="shared" si="9"/>
        <v>0</v>
      </c>
      <c r="AB7" s="703">
        <f t="shared" ref="AB7" si="21">SUM(AB5:AB6)</f>
        <v>0</v>
      </c>
      <c r="AC7" s="703">
        <f t="shared" ref="AC7" si="22">SUM(AC5:AC6)</f>
        <v>0</v>
      </c>
      <c r="AD7" s="1042">
        <f t="shared" si="10"/>
        <v>0</v>
      </c>
    </row>
    <row r="8" spans="1:30" ht="12" customHeight="1" x14ac:dyDescent="0.2">
      <c r="A8" s="504"/>
      <c r="B8" s="695"/>
      <c r="C8" s="303"/>
      <c r="D8" s="715"/>
      <c r="E8" s="701"/>
      <c r="F8" s="716"/>
      <c r="G8" s="857"/>
      <c r="H8" s="50"/>
      <c r="I8" s="804"/>
      <c r="J8" s="600"/>
      <c r="K8" s="600"/>
      <c r="L8" s="804"/>
      <c r="M8" s="600"/>
      <c r="N8" s="600"/>
      <c r="O8" s="804"/>
      <c r="P8" s="600"/>
      <c r="Q8" s="600"/>
      <c r="R8" s="804"/>
      <c r="S8" s="600"/>
      <c r="T8" s="600"/>
      <c r="U8" s="804"/>
      <c r="V8" s="600"/>
      <c r="W8" s="600"/>
      <c r="X8" s="804"/>
      <c r="Y8" s="600"/>
      <c r="Z8" s="600"/>
      <c r="AA8" s="804"/>
      <c r="AB8" s="1047"/>
      <c r="AC8" s="600"/>
      <c r="AD8" s="1043"/>
    </row>
    <row r="9" spans="1:30" s="37" customFormat="1" ht="12.75" customHeight="1" x14ac:dyDescent="0.2">
      <c r="A9" s="503" t="s">
        <v>35</v>
      </c>
      <c r="B9" s="1240" t="s">
        <v>171</v>
      </c>
      <c r="C9" s="1225"/>
      <c r="D9" s="560">
        <f>+G9+J9+M9+P9+Y9+V9+AB9+S9</f>
        <v>0</v>
      </c>
      <c r="E9" s="77">
        <f t="shared" ref="E9" si="23">+H9+K9+N9+Q9+Z9+W9+AC9+T9</f>
        <v>0</v>
      </c>
      <c r="F9" s="561">
        <f t="shared" ref="F9" si="24">+I9+L9+O9+R9+AA9+X9+AD9+U9</f>
        <v>0</v>
      </c>
      <c r="G9" s="562"/>
      <c r="H9" s="47"/>
      <c r="I9" s="703">
        <f t="shared" si="4"/>
        <v>0</v>
      </c>
      <c r="J9" s="703"/>
      <c r="K9" s="703"/>
      <c r="L9" s="703">
        <f t="shared" si="5"/>
        <v>0</v>
      </c>
      <c r="M9" s="703"/>
      <c r="N9" s="703"/>
      <c r="O9" s="703">
        <f t="shared" si="6"/>
        <v>0</v>
      </c>
      <c r="P9" s="703"/>
      <c r="Q9" s="703"/>
      <c r="R9" s="703">
        <f t="shared" ref="R9:R68" si="25">+Q9+P9</f>
        <v>0</v>
      </c>
      <c r="S9" s="703"/>
      <c r="T9" s="703"/>
      <c r="U9" s="703">
        <f t="shared" ref="U9" si="26">+T9+S9</f>
        <v>0</v>
      </c>
      <c r="V9" s="703"/>
      <c r="W9" s="703"/>
      <c r="X9" s="703">
        <f t="shared" si="8"/>
        <v>0</v>
      </c>
      <c r="Y9" s="703"/>
      <c r="Z9" s="703"/>
      <c r="AA9" s="1046">
        <f t="shared" si="9"/>
        <v>0</v>
      </c>
      <c r="AB9" s="703"/>
      <c r="AC9" s="703"/>
      <c r="AD9" s="1042">
        <f t="shared" ref="AD9" si="27">+AB9+AC9</f>
        <v>0</v>
      </c>
    </row>
    <row r="10" spans="1:30" ht="11.25" customHeight="1" x14ac:dyDescent="0.2">
      <c r="A10" s="88"/>
      <c r="C10" s="304"/>
      <c r="D10" s="715"/>
      <c r="E10" s="701"/>
      <c r="F10" s="716"/>
      <c r="G10" s="857"/>
      <c r="H10" s="50"/>
      <c r="I10" s="804"/>
      <c r="J10" s="600"/>
      <c r="K10" s="600"/>
      <c r="L10" s="804"/>
      <c r="M10" s="600"/>
      <c r="N10" s="600"/>
      <c r="O10" s="804"/>
      <c r="P10" s="600"/>
      <c r="Q10" s="600"/>
      <c r="R10" s="804"/>
      <c r="S10" s="600"/>
      <c r="T10" s="600"/>
      <c r="U10" s="804"/>
      <c r="V10" s="600"/>
      <c r="W10" s="600"/>
      <c r="X10" s="804"/>
      <c r="Y10" s="600"/>
      <c r="Z10" s="600"/>
      <c r="AA10" s="804"/>
      <c r="AB10" s="1047"/>
      <c r="AC10" s="600"/>
      <c r="AD10" s="1043"/>
    </row>
    <row r="11" spans="1:30" ht="12.75" hidden="1" customHeight="1" x14ac:dyDescent="0.2">
      <c r="A11" s="88" t="s">
        <v>42</v>
      </c>
      <c r="B11" s="1256" t="s">
        <v>41</v>
      </c>
      <c r="C11" s="1257"/>
      <c r="D11" s="715">
        <f t="shared" ref="D11:D68" si="28">+G11+J11+M11+P11+Y11+V11</f>
        <v>0</v>
      </c>
      <c r="E11" s="701">
        <f t="shared" ref="E11:E68" si="29">+H11+K11+N11+Q11+Z11+W11</f>
        <v>0</v>
      </c>
      <c r="F11" s="716">
        <f t="shared" ref="F11:F68" si="30">+I11+L11+O11+R11+AA11+X11</f>
        <v>0</v>
      </c>
      <c r="G11" s="563"/>
      <c r="H11" s="50"/>
      <c r="I11" s="804">
        <f t="shared" si="4"/>
        <v>0</v>
      </c>
      <c r="J11" s="600"/>
      <c r="K11" s="600"/>
      <c r="L11" s="804">
        <f t="shared" si="5"/>
        <v>0</v>
      </c>
      <c r="M11" s="600"/>
      <c r="N11" s="600"/>
      <c r="O11" s="804">
        <f t="shared" si="6"/>
        <v>0</v>
      </c>
      <c r="P11" s="600"/>
      <c r="Q11" s="600"/>
      <c r="R11" s="804">
        <f t="shared" si="25"/>
        <v>0</v>
      </c>
      <c r="S11" s="600"/>
      <c r="T11" s="600"/>
      <c r="U11" s="804">
        <f t="shared" ref="U11:U13" si="31">+T11+S11</f>
        <v>0</v>
      </c>
      <c r="V11" s="600"/>
      <c r="W11" s="600"/>
      <c r="X11" s="804">
        <f t="shared" si="8"/>
        <v>0</v>
      </c>
      <c r="Y11" s="600"/>
      <c r="Z11" s="600"/>
      <c r="AA11" s="804">
        <f t="shared" si="9"/>
        <v>0</v>
      </c>
      <c r="AB11" s="1047"/>
      <c r="AC11" s="600"/>
      <c r="AD11" s="1043">
        <f t="shared" ref="AD11:AD35" si="32">+AB11+AC11</f>
        <v>0</v>
      </c>
    </row>
    <row r="12" spans="1:30" ht="12.75" hidden="1" customHeight="1" x14ac:dyDescent="0.2">
      <c r="A12" s="88" t="s">
        <v>44</v>
      </c>
      <c r="B12" s="1256" t="s">
        <v>43</v>
      </c>
      <c r="C12" s="1257"/>
      <c r="D12" s="715">
        <f t="shared" si="28"/>
        <v>0</v>
      </c>
      <c r="E12" s="701">
        <f t="shared" si="29"/>
        <v>0</v>
      </c>
      <c r="F12" s="716">
        <f t="shared" si="30"/>
        <v>0</v>
      </c>
      <c r="G12" s="563"/>
      <c r="H12" s="50"/>
      <c r="I12" s="804">
        <f t="shared" si="4"/>
        <v>0</v>
      </c>
      <c r="J12" s="600"/>
      <c r="K12" s="600"/>
      <c r="L12" s="804">
        <f t="shared" si="5"/>
        <v>0</v>
      </c>
      <c r="M12" s="600"/>
      <c r="N12" s="600"/>
      <c r="O12" s="804">
        <f t="shared" si="6"/>
        <v>0</v>
      </c>
      <c r="P12" s="600"/>
      <c r="Q12" s="600"/>
      <c r="R12" s="804">
        <f t="shared" si="25"/>
        <v>0</v>
      </c>
      <c r="S12" s="600"/>
      <c r="T12" s="600"/>
      <c r="U12" s="804">
        <f t="shared" si="31"/>
        <v>0</v>
      </c>
      <c r="V12" s="600"/>
      <c r="W12" s="600"/>
      <c r="X12" s="804">
        <f t="shared" si="8"/>
        <v>0</v>
      </c>
      <c r="Y12" s="600"/>
      <c r="Z12" s="600"/>
      <c r="AA12" s="804">
        <f t="shared" si="9"/>
        <v>0</v>
      </c>
      <c r="AB12" s="1047"/>
      <c r="AC12" s="600"/>
      <c r="AD12" s="1043">
        <f t="shared" si="32"/>
        <v>0</v>
      </c>
    </row>
    <row r="13" spans="1:30" ht="12.75" hidden="1" customHeight="1" x14ac:dyDescent="0.2">
      <c r="A13" s="88" t="s">
        <v>46</v>
      </c>
      <c r="B13" s="1256" t="s">
        <v>45</v>
      </c>
      <c r="C13" s="1257"/>
      <c r="D13" s="715">
        <f t="shared" si="28"/>
        <v>0</v>
      </c>
      <c r="E13" s="701">
        <f t="shared" si="29"/>
        <v>0</v>
      </c>
      <c r="F13" s="716">
        <f t="shared" si="30"/>
        <v>0</v>
      </c>
      <c r="G13" s="563"/>
      <c r="H13" s="50"/>
      <c r="I13" s="804">
        <f t="shared" si="4"/>
        <v>0</v>
      </c>
      <c r="J13" s="600"/>
      <c r="K13" s="600"/>
      <c r="L13" s="804">
        <f t="shared" si="5"/>
        <v>0</v>
      </c>
      <c r="M13" s="600"/>
      <c r="N13" s="600"/>
      <c r="O13" s="804">
        <f t="shared" si="6"/>
        <v>0</v>
      </c>
      <c r="P13" s="600"/>
      <c r="Q13" s="600"/>
      <c r="R13" s="804">
        <f t="shared" si="25"/>
        <v>0</v>
      </c>
      <c r="S13" s="600"/>
      <c r="T13" s="600"/>
      <c r="U13" s="804">
        <f t="shared" si="31"/>
        <v>0</v>
      </c>
      <c r="V13" s="600"/>
      <c r="W13" s="600"/>
      <c r="X13" s="804">
        <f t="shared" si="8"/>
        <v>0</v>
      </c>
      <c r="Y13" s="600"/>
      <c r="Z13" s="600"/>
      <c r="AA13" s="804">
        <f t="shared" si="9"/>
        <v>0</v>
      </c>
      <c r="AB13" s="1047"/>
      <c r="AC13" s="600"/>
      <c r="AD13" s="1043">
        <f t="shared" si="32"/>
        <v>0</v>
      </c>
    </row>
    <row r="14" spans="1:30" s="37" customFormat="1" ht="12.75" customHeight="1" x14ac:dyDescent="0.2">
      <c r="A14" s="503" t="s">
        <v>47</v>
      </c>
      <c r="B14" s="1240" t="s">
        <v>170</v>
      </c>
      <c r="C14" s="1225"/>
      <c r="D14" s="560">
        <f t="shared" ref="D14:D35" si="33">+G14+J14+M14+P14+Y14+V14+AB14+S14</f>
        <v>0</v>
      </c>
      <c r="E14" s="77">
        <f t="shared" ref="E14:E35" si="34">+H14+K14+N14+Q14+Z14+W14+AC14+T14</f>
        <v>0</v>
      </c>
      <c r="F14" s="561">
        <f t="shared" ref="F14:F35" si="35">+I14+L14+O14+R14+AA14+X14+AD14+U14</f>
        <v>0</v>
      </c>
      <c r="G14" s="562">
        <f>SUM(G11:G13)</f>
        <v>0</v>
      </c>
      <c r="H14" s="47"/>
      <c r="I14" s="703">
        <f t="shared" si="4"/>
        <v>0</v>
      </c>
      <c r="J14" s="703">
        <f t="shared" ref="J14" si="36">SUM(J11:J13)</f>
        <v>0</v>
      </c>
      <c r="K14" s="703"/>
      <c r="L14" s="703">
        <f t="shared" si="5"/>
        <v>0</v>
      </c>
      <c r="M14" s="703">
        <f t="shared" ref="M14" si="37">SUM(M11:M13)</f>
        <v>0</v>
      </c>
      <c r="N14" s="703"/>
      <c r="O14" s="703">
        <f t="shared" si="6"/>
        <v>0</v>
      </c>
      <c r="P14" s="703">
        <f t="shared" ref="P14" si="38">SUM(P11:P13)</f>
        <v>0</v>
      </c>
      <c r="Q14" s="703"/>
      <c r="R14" s="703">
        <f t="shared" si="25"/>
        <v>0</v>
      </c>
      <c r="S14" s="703">
        <f t="shared" ref="S14" si="39">SUM(S11:S13)</f>
        <v>0</v>
      </c>
      <c r="T14" s="703"/>
      <c r="U14" s="703">
        <f t="shared" ref="U14" si="40">SUM(U11:U13)</f>
        <v>0</v>
      </c>
      <c r="V14" s="703">
        <f t="shared" ref="V14" si="41">SUM(V11:V13)</f>
        <v>0</v>
      </c>
      <c r="W14" s="703"/>
      <c r="X14" s="703">
        <f t="shared" ref="X14:Y14" si="42">SUM(X11:X13)</f>
        <v>0</v>
      </c>
      <c r="Y14" s="703">
        <f t="shared" si="42"/>
        <v>0</v>
      </c>
      <c r="Z14" s="703">
        <f t="shared" ref="Z14" si="43">SUM(Z11:Z13)</f>
        <v>0</v>
      </c>
      <c r="AA14" s="1046">
        <f t="shared" si="9"/>
        <v>0</v>
      </c>
      <c r="AB14" s="703">
        <f t="shared" ref="AB14" si="44">SUM(AB11:AB13)</f>
        <v>0</v>
      </c>
      <c r="AC14" s="703">
        <f t="shared" ref="AC14" si="45">SUM(AC11:AC13)</f>
        <v>0</v>
      </c>
      <c r="AD14" s="1042">
        <f t="shared" si="32"/>
        <v>0</v>
      </c>
    </row>
    <row r="15" spans="1:30" ht="12.75" hidden="1" customHeight="1" x14ac:dyDescent="0.2">
      <c r="A15" s="505" t="s">
        <v>49</v>
      </c>
      <c r="B15" s="1236" t="s">
        <v>48</v>
      </c>
      <c r="C15" s="1235"/>
      <c r="D15" s="560">
        <f t="shared" si="33"/>
        <v>0</v>
      </c>
      <c r="E15" s="77">
        <f t="shared" si="34"/>
        <v>0</v>
      </c>
      <c r="F15" s="561">
        <f t="shared" si="35"/>
        <v>0</v>
      </c>
      <c r="G15" s="563"/>
      <c r="H15" s="23"/>
      <c r="I15" s="703">
        <f t="shared" si="4"/>
        <v>0</v>
      </c>
      <c r="J15" s="446"/>
      <c r="K15" s="446"/>
      <c r="L15" s="703">
        <f t="shared" si="5"/>
        <v>0</v>
      </c>
      <c r="M15" s="446"/>
      <c r="N15" s="446"/>
      <c r="O15" s="703">
        <f t="shared" si="6"/>
        <v>0</v>
      </c>
      <c r="P15" s="446"/>
      <c r="Q15" s="446"/>
      <c r="R15" s="703">
        <f t="shared" si="25"/>
        <v>0</v>
      </c>
      <c r="S15" s="446"/>
      <c r="T15" s="446"/>
      <c r="U15" s="446"/>
      <c r="V15" s="446"/>
      <c r="W15" s="446"/>
      <c r="X15" s="446"/>
      <c r="Y15" s="446"/>
      <c r="Z15" s="446"/>
      <c r="AA15" s="1046">
        <f t="shared" si="9"/>
        <v>0</v>
      </c>
      <c r="AB15" s="446"/>
      <c r="AC15" s="446"/>
      <c r="AD15" s="1042">
        <f t="shared" si="32"/>
        <v>0</v>
      </c>
    </row>
    <row r="16" spans="1:30" ht="12.75" hidden="1" customHeight="1" x14ac:dyDescent="0.2">
      <c r="A16" s="505" t="s">
        <v>51</v>
      </c>
      <c r="B16" s="1236" t="s">
        <v>50</v>
      </c>
      <c r="C16" s="1235"/>
      <c r="D16" s="560">
        <f t="shared" si="33"/>
        <v>0</v>
      </c>
      <c r="E16" s="77">
        <f t="shared" si="34"/>
        <v>0</v>
      </c>
      <c r="F16" s="561">
        <f t="shared" si="35"/>
        <v>0</v>
      </c>
      <c r="G16" s="563"/>
      <c r="H16" s="23"/>
      <c r="I16" s="703">
        <f t="shared" si="4"/>
        <v>0</v>
      </c>
      <c r="J16" s="446"/>
      <c r="K16" s="446"/>
      <c r="L16" s="703">
        <f t="shared" si="5"/>
        <v>0</v>
      </c>
      <c r="M16" s="446"/>
      <c r="N16" s="446"/>
      <c r="O16" s="703">
        <f t="shared" si="6"/>
        <v>0</v>
      </c>
      <c r="P16" s="446"/>
      <c r="Q16" s="446"/>
      <c r="R16" s="703">
        <f t="shared" si="25"/>
        <v>0</v>
      </c>
      <c r="S16" s="446"/>
      <c r="T16" s="446"/>
      <c r="U16" s="446"/>
      <c r="V16" s="446"/>
      <c r="W16" s="446"/>
      <c r="X16" s="446"/>
      <c r="Y16" s="446"/>
      <c r="Z16" s="446"/>
      <c r="AA16" s="1046">
        <f t="shared" si="9"/>
        <v>0</v>
      </c>
      <c r="AB16" s="446"/>
      <c r="AC16" s="446"/>
      <c r="AD16" s="1042">
        <f t="shared" si="32"/>
        <v>0</v>
      </c>
    </row>
    <row r="17" spans="1:30" s="37" customFormat="1" ht="12.75" customHeight="1" x14ac:dyDescent="0.2">
      <c r="A17" s="503" t="s">
        <v>52</v>
      </c>
      <c r="B17" s="1240" t="s">
        <v>169</v>
      </c>
      <c r="C17" s="1225"/>
      <c r="D17" s="560">
        <f t="shared" si="33"/>
        <v>0</v>
      </c>
      <c r="E17" s="77">
        <f t="shared" si="34"/>
        <v>0</v>
      </c>
      <c r="F17" s="561">
        <f t="shared" si="35"/>
        <v>0</v>
      </c>
      <c r="G17" s="562">
        <f>+G15+G16</f>
        <v>0</v>
      </c>
      <c r="H17" s="47"/>
      <c r="I17" s="703">
        <f t="shared" si="4"/>
        <v>0</v>
      </c>
      <c r="J17" s="703">
        <f t="shared" ref="J17" si="46">+J15+J16</f>
        <v>0</v>
      </c>
      <c r="K17" s="703"/>
      <c r="L17" s="703">
        <f t="shared" si="5"/>
        <v>0</v>
      </c>
      <c r="M17" s="703">
        <f t="shared" ref="M17" si="47">+M15+M16</f>
        <v>0</v>
      </c>
      <c r="N17" s="703"/>
      <c r="O17" s="703">
        <f t="shared" si="6"/>
        <v>0</v>
      </c>
      <c r="P17" s="703">
        <f t="shared" ref="P17" si="48">+P15+P16</f>
        <v>0</v>
      </c>
      <c r="Q17" s="703"/>
      <c r="R17" s="703">
        <f t="shared" si="25"/>
        <v>0</v>
      </c>
      <c r="S17" s="703">
        <f t="shared" ref="S17" si="49">+S15+S16</f>
        <v>0</v>
      </c>
      <c r="T17" s="703"/>
      <c r="U17" s="703">
        <f t="shared" ref="U17" si="50">+U15+U16</f>
        <v>0</v>
      </c>
      <c r="V17" s="703">
        <f t="shared" ref="V17" si="51">+V15+V16</f>
        <v>0</v>
      </c>
      <c r="W17" s="703"/>
      <c r="X17" s="703">
        <f t="shared" ref="X17:Y17" si="52">+X15+X16</f>
        <v>0</v>
      </c>
      <c r="Y17" s="703">
        <f t="shared" si="52"/>
        <v>0</v>
      </c>
      <c r="Z17" s="703">
        <f t="shared" ref="Z17" si="53">+Z15+Z16</f>
        <v>0</v>
      </c>
      <c r="AA17" s="1046">
        <f t="shared" si="9"/>
        <v>0</v>
      </c>
      <c r="AB17" s="703">
        <f t="shared" ref="AB17" si="54">+AB15+AB16</f>
        <v>0</v>
      </c>
      <c r="AC17" s="703">
        <f t="shared" ref="AC17" si="55">+AC15+AC16</f>
        <v>0</v>
      </c>
      <c r="AD17" s="1042">
        <f t="shared" si="32"/>
        <v>0</v>
      </c>
    </row>
    <row r="18" spans="1:30" ht="12.75" customHeight="1" x14ac:dyDescent="0.2">
      <c r="A18" s="505" t="s">
        <v>54</v>
      </c>
      <c r="B18" s="1236" t="s">
        <v>53</v>
      </c>
      <c r="C18" s="1235"/>
      <c r="D18" s="560">
        <f t="shared" si="33"/>
        <v>0</v>
      </c>
      <c r="E18" s="77">
        <f t="shared" si="34"/>
        <v>0</v>
      </c>
      <c r="F18" s="561">
        <f t="shared" si="35"/>
        <v>0</v>
      </c>
      <c r="G18" s="563"/>
      <c r="H18" s="23"/>
      <c r="I18" s="703">
        <f t="shared" si="4"/>
        <v>0</v>
      </c>
      <c r="J18" s="446"/>
      <c r="K18" s="446"/>
      <c r="L18" s="703">
        <f t="shared" si="5"/>
        <v>0</v>
      </c>
      <c r="M18" s="446"/>
      <c r="N18" s="446"/>
      <c r="O18" s="703">
        <f t="shared" si="6"/>
        <v>0</v>
      </c>
      <c r="P18" s="446"/>
      <c r="Q18" s="446"/>
      <c r="R18" s="703">
        <f t="shared" si="25"/>
        <v>0</v>
      </c>
      <c r="S18" s="446"/>
      <c r="T18" s="446"/>
      <c r="U18" s="703">
        <f t="shared" ref="U18:U24" si="56">+T18+S18</f>
        <v>0</v>
      </c>
      <c r="V18" s="446"/>
      <c r="W18" s="446"/>
      <c r="X18" s="703">
        <f t="shared" si="8"/>
        <v>0</v>
      </c>
      <c r="Y18" s="446"/>
      <c r="Z18" s="446"/>
      <c r="AA18" s="1046">
        <f t="shared" si="9"/>
        <v>0</v>
      </c>
      <c r="AB18" s="446"/>
      <c r="AC18" s="446"/>
      <c r="AD18" s="1042">
        <f t="shared" si="32"/>
        <v>0</v>
      </c>
    </row>
    <row r="19" spans="1:30" ht="12.75" customHeight="1" x14ac:dyDescent="0.2">
      <c r="A19" s="505" t="s">
        <v>56</v>
      </c>
      <c r="B19" s="1236" t="s">
        <v>55</v>
      </c>
      <c r="C19" s="1235"/>
      <c r="D19" s="560">
        <f t="shared" si="33"/>
        <v>0</v>
      </c>
      <c r="E19" s="77">
        <f t="shared" si="34"/>
        <v>0</v>
      </c>
      <c r="F19" s="561">
        <f t="shared" si="35"/>
        <v>0</v>
      </c>
      <c r="G19" s="563"/>
      <c r="H19" s="23"/>
      <c r="I19" s="703">
        <f t="shared" si="4"/>
        <v>0</v>
      </c>
      <c r="J19" s="446"/>
      <c r="K19" s="446"/>
      <c r="L19" s="703">
        <f t="shared" si="5"/>
        <v>0</v>
      </c>
      <c r="M19" s="446"/>
      <c r="N19" s="446"/>
      <c r="O19" s="703">
        <f t="shared" si="6"/>
        <v>0</v>
      </c>
      <c r="P19" s="446"/>
      <c r="Q19" s="446"/>
      <c r="R19" s="703">
        <f t="shared" si="25"/>
        <v>0</v>
      </c>
      <c r="S19" s="446"/>
      <c r="T19" s="446"/>
      <c r="U19" s="703">
        <f t="shared" si="56"/>
        <v>0</v>
      </c>
      <c r="V19" s="446"/>
      <c r="W19" s="446"/>
      <c r="X19" s="703">
        <f t="shared" si="8"/>
        <v>0</v>
      </c>
      <c r="Y19" s="446"/>
      <c r="Z19" s="446"/>
      <c r="AA19" s="1046">
        <f t="shared" si="9"/>
        <v>0</v>
      </c>
      <c r="AB19" s="446"/>
      <c r="AC19" s="446"/>
      <c r="AD19" s="1042">
        <f t="shared" si="32"/>
        <v>0</v>
      </c>
    </row>
    <row r="20" spans="1:30" ht="12.75" customHeight="1" x14ac:dyDescent="0.2">
      <c r="A20" s="505" t="s">
        <v>57</v>
      </c>
      <c r="B20" s="1236" t="s">
        <v>167</v>
      </c>
      <c r="C20" s="1235"/>
      <c r="D20" s="560">
        <f t="shared" si="33"/>
        <v>0</v>
      </c>
      <c r="E20" s="77">
        <f t="shared" si="34"/>
        <v>0</v>
      </c>
      <c r="F20" s="561">
        <f t="shared" si="35"/>
        <v>0</v>
      </c>
      <c r="G20" s="563"/>
      <c r="H20" s="23"/>
      <c r="I20" s="703">
        <f t="shared" si="4"/>
        <v>0</v>
      </c>
      <c r="J20" s="446"/>
      <c r="K20" s="446"/>
      <c r="L20" s="703">
        <f t="shared" si="5"/>
        <v>0</v>
      </c>
      <c r="M20" s="446"/>
      <c r="N20" s="446"/>
      <c r="O20" s="703">
        <f t="shared" si="6"/>
        <v>0</v>
      </c>
      <c r="P20" s="446"/>
      <c r="Q20" s="446"/>
      <c r="R20" s="703">
        <f t="shared" si="25"/>
        <v>0</v>
      </c>
      <c r="S20" s="446"/>
      <c r="T20" s="446"/>
      <c r="U20" s="703">
        <f t="shared" si="56"/>
        <v>0</v>
      </c>
      <c r="V20" s="446"/>
      <c r="W20" s="446"/>
      <c r="X20" s="703">
        <f t="shared" si="8"/>
        <v>0</v>
      </c>
      <c r="Y20" s="446"/>
      <c r="Z20" s="446"/>
      <c r="AA20" s="1046">
        <f t="shared" si="9"/>
        <v>0</v>
      </c>
      <c r="AB20" s="446"/>
      <c r="AC20" s="446"/>
      <c r="AD20" s="1042">
        <f t="shared" si="32"/>
        <v>0</v>
      </c>
    </row>
    <row r="21" spans="1:30" ht="12.75" customHeight="1" x14ac:dyDescent="0.2">
      <c r="A21" s="505" t="s">
        <v>59</v>
      </c>
      <c r="B21" s="1236" t="s">
        <v>58</v>
      </c>
      <c r="C21" s="1235"/>
      <c r="D21" s="560">
        <f t="shared" si="33"/>
        <v>0</v>
      </c>
      <c r="E21" s="77">
        <f t="shared" si="34"/>
        <v>0</v>
      </c>
      <c r="F21" s="561">
        <f t="shared" si="35"/>
        <v>0</v>
      </c>
      <c r="G21" s="563"/>
      <c r="H21" s="23"/>
      <c r="I21" s="703">
        <f t="shared" si="4"/>
        <v>0</v>
      </c>
      <c r="J21" s="446"/>
      <c r="K21" s="446"/>
      <c r="L21" s="703">
        <f t="shared" si="5"/>
        <v>0</v>
      </c>
      <c r="M21" s="446"/>
      <c r="N21" s="446"/>
      <c r="O21" s="703">
        <f t="shared" si="6"/>
        <v>0</v>
      </c>
      <c r="P21" s="446"/>
      <c r="Q21" s="446"/>
      <c r="R21" s="703">
        <f t="shared" si="25"/>
        <v>0</v>
      </c>
      <c r="S21" s="446"/>
      <c r="T21" s="446"/>
      <c r="U21" s="703">
        <f t="shared" si="56"/>
        <v>0</v>
      </c>
      <c r="V21" s="446"/>
      <c r="W21" s="446"/>
      <c r="X21" s="703">
        <f t="shared" si="8"/>
        <v>0</v>
      </c>
      <c r="Y21" s="446"/>
      <c r="Z21" s="446"/>
      <c r="AA21" s="1046">
        <f t="shared" si="9"/>
        <v>0</v>
      </c>
      <c r="AB21" s="446"/>
      <c r="AC21" s="446"/>
      <c r="AD21" s="1042">
        <f t="shared" si="32"/>
        <v>0</v>
      </c>
    </row>
    <row r="22" spans="1:30" ht="12.75" customHeight="1" x14ac:dyDescent="0.2">
      <c r="A22" s="505" t="s">
        <v>60</v>
      </c>
      <c r="B22" s="1236" t="s">
        <v>166</v>
      </c>
      <c r="C22" s="1235"/>
      <c r="D22" s="560">
        <f t="shared" si="33"/>
        <v>0</v>
      </c>
      <c r="E22" s="77">
        <f t="shared" si="34"/>
        <v>0</v>
      </c>
      <c r="F22" s="561">
        <f t="shared" si="35"/>
        <v>0</v>
      </c>
      <c r="G22" s="563"/>
      <c r="H22" s="23"/>
      <c r="I22" s="703">
        <f t="shared" si="4"/>
        <v>0</v>
      </c>
      <c r="J22" s="446"/>
      <c r="K22" s="446"/>
      <c r="L22" s="703">
        <f t="shared" si="5"/>
        <v>0</v>
      </c>
      <c r="M22" s="446"/>
      <c r="N22" s="446"/>
      <c r="O22" s="703">
        <f t="shared" si="6"/>
        <v>0</v>
      </c>
      <c r="P22" s="446"/>
      <c r="Q22" s="446"/>
      <c r="R22" s="703">
        <f t="shared" si="25"/>
        <v>0</v>
      </c>
      <c r="S22" s="446"/>
      <c r="T22" s="446"/>
      <c r="U22" s="703">
        <f t="shared" si="56"/>
        <v>0</v>
      </c>
      <c r="V22" s="446"/>
      <c r="W22" s="446"/>
      <c r="X22" s="703">
        <f t="shared" si="8"/>
        <v>0</v>
      </c>
      <c r="Y22" s="446"/>
      <c r="Z22" s="446"/>
      <c r="AA22" s="1046">
        <f t="shared" si="9"/>
        <v>0</v>
      </c>
      <c r="AB22" s="446"/>
      <c r="AC22" s="446"/>
      <c r="AD22" s="1042">
        <f t="shared" si="32"/>
        <v>0</v>
      </c>
    </row>
    <row r="23" spans="1:30" ht="12.75" customHeight="1" x14ac:dyDescent="0.2">
      <c r="A23" s="505" t="s">
        <v>63</v>
      </c>
      <c r="B23" s="1236" t="s">
        <v>62</v>
      </c>
      <c r="C23" s="1235"/>
      <c r="D23" s="560">
        <f t="shared" si="33"/>
        <v>0</v>
      </c>
      <c r="E23" s="77">
        <f t="shared" si="34"/>
        <v>0</v>
      </c>
      <c r="F23" s="561">
        <f t="shared" si="35"/>
        <v>0</v>
      </c>
      <c r="G23" s="563"/>
      <c r="H23" s="23"/>
      <c r="I23" s="703">
        <f t="shared" si="4"/>
        <v>0</v>
      </c>
      <c r="J23" s="446"/>
      <c r="K23" s="446"/>
      <c r="L23" s="703">
        <f t="shared" si="5"/>
        <v>0</v>
      </c>
      <c r="M23" s="446"/>
      <c r="N23" s="446"/>
      <c r="O23" s="703">
        <f t="shared" si="6"/>
        <v>0</v>
      </c>
      <c r="P23" s="446"/>
      <c r="Q23" s="446"/>
      <c r="R23" s="703">
        <f t="shared" si="25"/>
        <v>0</v>
      </c>
      <c r="S23" s="446"/>
      <c r="T23" s="446"/>
      <c r="U23" s="703">
        <f t="shared" si="56"/>
        <v>0</v>
      </c>
      <c r="V23" s="446"/>
      <c r="W23" s="446"/>
      <c r="X23" s="703">
        <f t="shared" si="8"/>
        <v>0</v>
      </c>
      <c r="Y23" s="446"/>
      <c r="Z23" s="446"/>
      <c r="AA23" s="1046">
        <f t="shared" si="9"/>
        <v>0</v>
      </c>
      <c r="AB23" s="446"/>
      <c r="AC23" s="446"/>
      <c r="AD23" s="1042">
        <f t="shared" si="32"/>
        <v>0</v>
      </c>
    </row>
    <row r="24" spans="1:30" ht="12.75" customHeight="1" x14ac:dyDescent="0.2">
      <c r="A24" s="505" t="s">
        <v>65</v>
      </c>
      <c r="B24" s="1236" t="s">
        <v>64</v>
      </c>
      <c r="C24" s="1235"/>
      <c r="D24" s="560">
        <f t="shared" si="33"/>
        <v>538</v>
      </c>
      <c r="E24" s="77">
        <f t="shared" si="34"/>
        <v>0</v>
      </c>
      <c r="F24" s="561">
        <f t="shared" si="35"/>
        <v>538</v>
      </c>
      <c r="G24" s="563"/>
      <c r="H24" s="23"/>
      <c r="I24" s="703">
        <f t="shared" si="4"/>
        <v>0</v>
      </c>
      <c r="J24" s="446"/>
      <c r="K24" s="446"/>
      <c r="L24" s="703">
        <f t="shared" si="5"/>
        <v>0</v>
      </c>
      <c r="M24" s="446"/>
      <c r="N24" s="446"/>
      <c r="O24" s="703">
        <f t="shared" si="6"/>
        <v>0</v>
      </c>
      <c r="P24" s="446"/>
      <c r="Q24" s="446"/>
      <c r="R24" s="703">
        <f t="shared" si="25"/>
        <v>0</v>
      </c>
      <c r="S24" s="446"/>
      <c r="T24" s="446"/>
      <c r="U24" s="703">
        <f t="shared" si="56"/>
        <v>0</v>
      </c>
      <c r="V24" s="446"/>
      <c r="W24" s="446"/>
      <c r="X24" s="703">
        <f t="shared" si="8"/>
        <v>0</v>
      </c>
      <c r="Y24" s="446"/>
      <c r="Z24" s="446"/>
      <c r="AA24" s="1046">
        <f t="shared" si="9"/>
        <v>0</v>
      </c>
      <c r="AB24" s="446">
        <v>538</v>
      </c>
      <c r="AC24" s="446"/>
      <c r="AD24" s="1042">
        <f t="shared" si="32"/>
        <v>538</v>
      </c>
    </row>
    <row r="25" spans="1:30" s="37" customFormat="1" ht="12.75" customHeight="1" x14ac:dyDescent="0.2">
      <c r="A25" s="503" t="s">
        <v>66</v>
      </c>
      <c r="B25" s="1240" t="s">
        <v>156</v>
      </c>
      <c r="C25" s="1225"/>
      <c r="D25" s="560">
        <f t="shared" si="33"/>
        <v>538</v>
      </c>
      <c r="E25" s="77">
        <f t="shared" si="34"/>
        <v>0</v>
      </c>
      <c r="F25" s="561">
        <f t="shared" si="35"/>
        <v>538</v>
      </c>
      <c r="G25" s="858">
        <f t="shared" ref="G25" si="57">+G24+G23+G22+G21+G20+G19+G18</f>
        <v>0</v>
      </c>
      <c r="H25" s="47">
        <f t="shared" ref="H25:Q25" si="58">+H24+H23+H22+H21+H20+H19+H18</f>
        <v>0</v>
      </c>
      <c r="I25" s="703">
        <f t="shared" si="4"/>
        <v>0</v>
      </c>
      <c r="J25" s="703">
        <f t="shared" ref="J25" si="59">+J24+J23+J22+J21+J20+J19+J18</f>
        <v>0</v>
      </c>
      <c r="K25" s="703">
        <f t="shared" si="58"/>
        <v>0</v>
      </c>
      <c r="L25" s="703">
        <f t="shared" si="5"/>
        <v>0</v>
      </c>
      <c r="M25" s="703">
        <f t="shared" ref="M25" si="60">+M24+M23+M22+M21+M20+M19+M18</f>
        <v>0</v>
      </c>
      <c r="N25" s="703">
        <f t="shared" si="58"/>
        <v>0</v>
      </c>
      <c r="O25" s="703">
        <f t="shared" si="6"/>
        <v>0</v>
      </c>
      <c r="P25" s="703">
        <f t="shared" ref="P25" si="61">+P24+P23+P22+P21+P20+P19+P18</f>
        <v>0</v>
      </c>
      <c r="Q25" s="703">
        <f t="shared" si="58"/>
        <v>0</v>
      </c>
      <c r="R25" s="703">
        <f t="shared" si="25"/>
        <v>0</v>
      </c>
      <c r="S25" s="703">
        <f t="shared" ref="S25:U25" si="62">+S24+S23+S22+S21+S20+S19+S18</f>
        <v>0</v>
      </c>
      <c r="T25" s="703">
        <f t="shared" si="62"/>
        <v>0</v>
      </c>
      <c r="U25" s="703">
        <f t="shared" si="62"/>
        <v>0</v>
      </c>
      <c r="V25" s="703">
        <f t="shared" ref="V25" si="63">+V24+V23+V22+V21+V20+V19+V18</f>
        <v>0</v>
      </c>
      <c r="W25" s="703">
        <f t="shared" ref="W25:Y25" si="64">+W24+W23+W22+W21+W20+W19+W18</f>
        <v>0</v>
      </c>
      <c r="X25" s="703">
        <f t="shared" si="64"/>
        <v>0</v>
      </c>
      <c r="Y25" s="703">
        <f t="shared" si="64"/>
        <v>0</v>
      </c>
      <c r="Z25" s="703">
        <f t="shared" ref="Z25" si="65">+Z24+Z23+Z22+Z21+Z20+Z19+Z18</f>
        <v>0</v>
      </c>
      <c r="AA25" s="1046">
        <f t="shared" si="9"/>
        <v>0</v>
      </c>
      <c r="AB25" s="703">
        <f t="shared" ref="AB25" si="66">+AB24+AB23+AB22+AB21+AB20+AB19+AB18</f>
        <v>538</v>
      </c>
      <c r="AC25" s="703">
        <f t="shared" ref="AC25" si="67">+AC24+AC23+AC22+AC21+AC20+AC19+AC18</f>
        <v>0</v>
      </c>
      <c r="AD25" s="1042">
        <f t="shared" si="32"/>
        <v>538</v>
      </c>
    </row>
    <row r="26" spans="1:30" ht="12.75" customHeight="1" x14ac:dyDescent="0.2">
      <c r="A26" s="505" t="s">
        <v>68</v>
      </c>
      <c r="B26" s="1236" t="s">
        <v>67</v>
      </c>
      <c r="C26" s="1235"/>
      <c r="D26" s="560">
        <f t="shared" si="33"/>
        <v>0</v>
      </c>
      <c r="E26" s="77">
        <f t="shared" si="34"/>
        <v>0</v>
      </c>
      <c r="F26" s="561">
        <f t="shared" si="35"/>
        <v>0</v>
      </c>
      <c r="G26" s="563"/>
      <c r="H26" s="23"/>
      <c r="I26" s="703">
        <f t="shared" si="4"/>
        <v>0</v>
      </c>
      <c r="J26" s="446"/>
      <c r="K26" s="446"/>
      <c r="L26" s="703">
        <f t="shared" si="5"/>
        <v>0</v>
      </c>
      <c r="M26" s="446"/>
      <c r="N26" s="446"/>
      <c r="O26" s="703">
        <f t="shared" si="6"/>
        <v>0</v>
      </c>
      <c r="P26" s="446"/>
      <c r="Q26" s="446"/>
      <c r="R26" s="703">
        <f t="shared" si="25"/>
        <v>0</v>
      </c>
      <c r="S26" s="446"/>
      <c r="T26" s="446"/>
      <c r="U26" s="703">
        <f t="shared" ref="U26:U27" si="68">+T26+S26</f>
        <v>0</v>
      </c>
      <c r="V26" s="446"/>
      <c r="W26" s="446"/>
      <c r="X26" s="703">
        <f t="shared" si="8"/>
        <v>0</v>
      </c>
      <c r="Y26" s="446"/>
      <c r="Z26" s="446"/>
      <c r="AA26" s="1046">
        <f t="shared" si="9"/>
        <v>0</v>
      </c>
      <c r="AB26" s="446"/>
      <c r="AC26" s="446"/>
      <c r="AD26" s="1042">
        <f t="shared" si="32"/>
        <v>0</v>
      </c>
    </row>
    <row r="27" spans="1:30" ht="12.75" customHeight="1" x14ac:dyDescent="0.2">
      <c r="A27" s="505" t="s">
        <v>70</v>
      </c>
      <c r="B27" s="1236" t="s">
        <v>69</v>
      </c>
      <c r="C27" s="1235"/>
      <c r="D27" s="560">
        <f t="shared" si="33"/>
        <v>0</v>
      </c>
      <c r="E27" s="77">
        <f t="shared" si="34"/>
        <v>0</v>
      </c>
      <c r="F27" s="561">
        <f t="shared" si="35"/>
        <v>0</v>
      </c>
      <c r="G27" s="563"/>
      <c r="H27" s="23"/>
      <c r="I27" s="703">
        <f t="shared" si="4"/>
        <v>0</v>
      </c>
      <c r="J27" s="446"/>
      <c r="K27" s="446"/>
      <c r="L27" s="703">
        <f t="shared" si="5"/>
        <v>0</v>
      </c>
      <c r="M27" s="446"/>
      <c r="N27" s="446"/>
      <c r="O27" s="703">
        <f t="shared" si="6"/>
        <v>0</v>
      </c>
      <c r="P27" s="446"/>
      <c r="Q27" s="446"/>
      <c r="R27" s="703">
        <f t="shared" si="25"/>
        <v>0</v>
      </c>
      <c r="S27" s="446"/>
      <c r="T27" s="446"/>
      <c r="U27" s="703">
        <f t="shared" si="68"/>
        <v>0</v>
      </c>
      <c r="V27" s="446"/>
      <c r="W27" s="446"/>
      <c r="X27" s="703">
        <f t="shared" si="8"/>
        <v>0</v>
      </c>
      <c r="Y27" s="446"/>
      <c r="Z27" s="446"/>
      <c r="AA27" s="1046">
        <f t="shared" si="9"/>
        <v>0</v>
      </c>
      <c r="AB27" s="446"/>
      <c r="AC27" s="446"/>
      <c r="AD27" s="1042">
        <f t="shared" si="32"/>
        <v>0</v>
      </c>
    </row>
    <row r="28" spans="1:30" s="37" customFormat="1" ht="12.75" customHeight="1" x14ac:dyDescent="0.2">
      <c r="A28" s="503" t="s">
        <v>71</v>
      </c>
      <c r="B28" s="1240" t="s">
        <v>155</v>
      </c>
      <c r="C28" s="1225"/>
      <c r="D28" s="560">
        <f t="shared" si="33"/>
        <v>0</v>
      </c>
      <c r="E28" s="77">
        <f t="shared" si="34"/>
        <v>0</v>
      </c>
      <c r="F28" s="561">
        <f t="shared" si="35"/>
        <v>0</v>
      </c>
      <c r="G28" s="858">
        <f>SUM(G26:G27)</f>
        <v>0</v>
      </c>
      <c r="H28" s="47">
        <f t="shared" ref="H28:N28" si="69">SUM(H26:H27)</f>
        <v>0</v>
      </c>
      <c r="I28" s="703">
        <f t="shared" si="4"/>
        <v>0</v>
      </c>
      <c r="J28" s="703">
        <f t="shared" ref="J28" si="70">SUM(J26:J27)</f>
        <v>0</v>
      </c>
      <c r="K28" s="703">
        <f t="shared" si="69"/>
        <v>0</v>
      </c>
      <c r="L28" s="703">
        <f t="shared" si="5"/>
        <v>0</v>
      </c>
      <c r="M28" s="703">
        <f t="shared" ref="M28" si="71">SUM(M26:M27)</f>
        <v>0</v>
      </c>
      <c r="N28" s="703">
        <f t="shared" si="69"/>
        <v>0</v>
      </c>
      <c r="O28" s="703">
        <f t="shared" si="6"/>
        <v>0</v>
      </c>
      <c r="P28" s="703">
        <f t="shared" ref="P28" si="72">SUM(P26:P27)</f>
        <v>0</v>
      </c>
      <c r="Q28" s="703">
        <f t="shared" ref="Q28:Z28" si="73">SUM(Q26:Q27)</f>
        <v>0</v>
      </c>
      <c r="R28" s="703">
        <f t="shared" si="25"/>
        <v>0</v>
      </c>
      <c r="S28" s="703">
        <f t="shared" ref="S28:U28" si="74">SUM(S26:S27)</f>
        <v>0</v>
      </c>
      <c r="T28" s="703">
        <f t="shared" si="74"/>
        <v>0</v>
      </c>
      <c r="U28" s="703">
        <f t="shared" si="74"/>
        <v>0</v>
      </c>
      <c r="V28" s="703">
        <f t="shared" ref="V28" si="75">SUM(V26:V27)</f>
        <v>0</v>
      </c>
      <c r="W28" s="703">
        <f t="shared" si="73"/>
        <v>0</v>
      </c>
      <c r="X28" s="703">
        <f t="shared" si="73"/>
        <v>0</v>
      </c>
      <c r="Y28" s="703">
        <f t="shared" si="73"/>
        <v>0</v>
      </c>
      <c r="Z28" s="703">
        <f t="shared" si="73"/>
        <v>0</v>
      </c>
      <c r="AA28" s="1046">
        <f t="shared" si="9"/>
        <v>0</v>
      </c>
      <c r="AB28" s="703">
        <f t="shared" ref="AB28" si="76">SUM(AB26:AB27)</f>
        <v>0</v>
      </c>
      <c r="AC28" s="703">
        <f t="shared" ref="AC28" si="77">SUM(AC26:AC27)</f>
        <v>0</v>
      </c>
      <c r="AD28" s="1042">
        <f t="shared" si="32"/>
        <v>0</v>
      </c>
    </row>
    <row r="29" spans="1:30" ht="12.75" customHeight="1" x14ac:dyDescent="0.2">
      <c r="A29" s="505" t="s">
        <v>73</v>
      </c>
      <c r="B29" s="1236" t="s">
        <v>72</v>
      </c>
      <c r="C29" s="1235"/>
      <c r="D29" s="560">
        <f t="shared" si="33"/>
        <v>145</v>
      </c>
      <c r="E29" s="77">
        <f t="shared" si="34"/>
        <v>0</v>
      </c>
      <c r="F29" s="561">
        <f t="shared" si="35"/>
        <v>145</v>
      </c>
      <c r="G29" s="563"/>
      <c r="H29" s="23"/>
      <c r="I29" s="703">
        <f t="shared" si="4"/>
        <v>0</v>
      </c>
      <c r="J29" s="446"/>
      <c r="K29" s="446"/>
      <c r="L29" s="703">
        <f t="shared" si="5"/>
        <v>0</v>
      </c>
      <c r="M29" s="446"/>
      <c r="N29" s="446"/>
      <c r="O29" s="703">
        <f t="shared" si="6"/>
        <v>0</v>
      </c>
      <c r="P29" s="446"/>
      <c r="Q29" s="446"/>
      <c r="R29" s="703">
        <f t="shared" si="25"/>
        <v>0</v>
      </c>
      <c r="S29" s="446"/>
      <c r="T29" s="446"/>
      <c r="U29" s="703">
        <f t="shared" ref="U29:U33" si="78">+T29+S29</f>
        <v>0</v>
      </c>
      <c r="V29" s="446"/>
      <c r="W29" s="446"/>
      <c r="X29" s="703">
        <f t="shared" si="8"/>
        <v>0</v>
      </c>
      <c r="Y29" s="446"/>
      <c r="Z29" s="446"/>
      <c r="AA29" s="1046">
        <f t="shared" si="9"/>
        <v>0</v>
      </c>
      <c r="AB29" s="446">
        <v>145</v>
      </c>
      <c r="AC29" s="446"/>
      <c r="AD29" s="1042">
        <f t="shared" si="32"/>
        <v>145</v>
      </c>
    </row>
    <row r="30" spans="1:30" ht="12.75" customHeight="1" x14ac:dyDescent="0.2">
      <c r="A30" s="505" t="s">
        <v>75</v>
      </c>
      <c r="B30" s="1236" t="s">
        <v>74</v>
      </c>
      <c r="C30" s="1235"/>
      <c r="D30" s="560">
        <f t="shared" si="33"/>
        <v>58430</v>
      </c>
      <c r="E30" s="77">
        <f t="shared" si="34"/>
        <v>0</v>
      </c>
      <c r="F30" s="561">
        <f t="shared" si="35"/>
        <v>58430</v>
      </c>
      <c r="G30" s="563"/>
      <c r="H30" s="23"/>
      <c r="I30" s="703">
        <f t="shared" si="4"/>
        <v>0</v>
      </c>
      <c r="J30" s="446"/>
      <c r="K30" s="446"/>
      <c r="L30" s="703">
        <f t="shared" si="5"/>
        <v>0</v>
      </c>
      <c r="M30" s="1048">
        <v>27905</v>
      </c>
      <c r="N30" s="446"/>
      <c r="O30" s="703">
        <f t="shared" si="6"/>
        <v>27905</v>
      </c>
      <c r="P30" s="446">
        <v>3105</v>
      </c>
      <c r="Q30" s="446"/>
      <c r="R30" s="703">
        <f t="shared" si="25"/>
        <v>3105</v>
      </c>
      <c r="S30" s="446"/>
      <c r="T30" s="446"/>
      <c r="U30" s="703">
        <f t="shared" si="78"/>
        <v>0</v>
      </c>
      <c r="V30" s="446"/>
      <c r="W30" s="446"/>
      <c r="X30" s="703">
        <f t="shared" si="8"/>
        <v>0</v>
      </c>
      <c r="Y30" s="446">
        <v>27420</v>
      </c>
      <c r="Z30" s="446"/>
      <c r="AA30" s="1046">
        <f t="shared" si="9"/>
        <v>27420</v>
      </c>
      <c r="AB30" s="446"/>
      <c r="AC30" s="446"/>
      <c r="AD30" s="1042">
        <f t="shared" si="32"/>
        <v>0</v>
      </c>
    </row>
    <row r="31" spans="1:30" ht="12.75" customHeight="1" x14ac:dyDescent="0.2">
      <c r="A31" s="505" t="s">
        <v>76</v>
      </c>
      <c r="B31" s="1236" t="s">
        <v>154</v>
      </c>
      <c r="C31" s="1235"/>
      <c r="D31" s="560">
        <f t="shared" si="33"/>
        <v>0</v>
      </c>
      <c r="E31" s="77">
        <f t="shared" si="34"/>
        <v>0</v>
      </c>
      <c r="F31" s="561">
        <f t="shared" si="35"/>
        <v>0</v>
      </c>
      <c r="G31" s="563"/>
      <c r="H31" s="23"/>
      <c r="I31" s="703">
        <f t="shared" si="4"/>
        <v>0</v>
      </c>
      <c r="J31" s="446"/>
      <c r="K31" s="446"/>
      <c r="L31" s="703">
        <f t="shared" si="5"/>
        <v>0</v>
      </c>
      <c r="M31" s="1048"/>
      <c r="N31" s="446"/>
      <c r="O31" s="703">
        <f t="shared" si="6"/>
        <v>0</v>
      </c>
      <c r="P31" s="446"/>
      <c r="Q31" s="446"/>
      <c r="R31" s="703">
        <f t="shared" si="25"/>
        <v>0</v>
      </c>
      <c r="S31" s="446"/>
      <c r="T31" s="446"/>
      <c r="U31" s="703">
        <f t="shared" si="78"/>
        <v>0</v>
      </c>
      <c r="V31" s="446"/>
      <c r="W31" s="446"/>
      <c r="X31" s="703">
        <f t="shared" si="8"/>
        <v>0</v>
      </c>
      <c r="Y31" s="446"/>
      <c r="Z31" s="446"/>
      <c r="AA31" s="1046">
        <f t="shared" si="9"/>
        <v>0</v>
      </c>
      <c r="AB31" s="446"/>
      <c r="AC31" s="446"/>
      <c r="AD31" s="1042">
        <f t="shared" si="32"/>
        <v>0</v>
      </c>
    </row>
    <row r="32" spans="1:30" ht="12.75" customHeight="1" x14ac:dyDescent="0.2">
      <c r="A32" s="505" t="s">
        <v>77</v>
      </c>
      <c r="B32" s="1236" t="s">
        <v>153</v>
      </c>
      <c r="C32" s="1235"/>
      <c r="D32" s="560">
        <f t="shared" si="33"/>
        <v>0</v>
      </c>
      <c r="E32" s="77">
        <f t="shared" si="34"/>
        <v>0</v>
      </c>
      <c r="F32" s="561">
        <f t="shared" si="35"/>
        <v>0</v>
      </c>
      <c r="G32" s="563"/>
      <c r="H32" s="23"/>
      <c r="I32" s="703">
        <f t="shared" si="4"/>
        <v>0</v>
      </c>
      <c r="J32" s="446"/>
      <c r="K32" s="446"/>
      <c r="L32" s="703">
        <f t="shared" si="5"/>
        <v>0</v>
      </c>
      <c r="M32" s="1048"/>
      <c r="N32" s="446"/>
      <c r="O32" s="703">
        <f t="shared" si="6"/>
        <v>0</v>
      </c>
      <c r="P32" s="446"/>
      <c r="Q32" s="446"/>
      <c r="R32" s="703">
        <f t="shared" si="25"/>
        <v>0</v>
      </c>
      <c r="S32" s="446"/>
      <c r="T32" s="446"/>
      <c r="U32" s="703">
        <f t="shared" si="78"/>
        <v>0</v>
      </c>
      <c r="V32" s="446"/>
      <c r="W32" s="446"/>
      <c r="X32" s="703">
        <f t="shared" si="8"/>
        <v>0</v>
      </c>
      <c r="Y32" s="446"/>
      <c r="Z32" s="446"/>
      <c r="AA32" s="1046">
        <f t="shared" si="9"/>
        <v>0</v>
      </c>
      <c r="AB32" s="446"/>
      <c r="AC32" s="446"/>
      <c r="AD32" s="1042">
        <f t="shared" si="32"/>
        <v>0</v>
      </c>
    </row>
    <row r="33" spans="1:30" ht="12.75" customHeight="1" x14ac:dyDescent="0.2">
      <c r="A33" s="505" t="s">
        <v>79</v>
      </c>
      <c r="B33" s="1236" t="s">
        <v>78</v>
      </c>
      <c r="C33" s="1235"/>
      <c r="D33" s="560">
        <f t="shared" si="33"/>
        <v>2543</v>
      </c>
      <c r="E33" s="77">
        <f t="shared" si="34"/>
        <v>133</v>
      </c>
      <c r="F33" s="561">
        <f t="shared" si="35"/>
        <v>2676</v>
      </c>
      <c r="G33" s="563"/>
      <c r="H33" s="23"/>
      <c r="I33" s="703">
        <f t="shared" si="4"/>
        <v>0</v>
      </c>
      <c r="J33" s="446"/>
      <c r="K33" s="446"/>
      <c r="L33" s="703">
        <f t="shared" si="5"/>
        <v>0</v>
      </c>
      <c r="M33" s="1048">
        <v>1203</v>
      </c>
      <c r="N33" s="446"/>
      <c r="O33" s="703">
        <f t="shared" si="6"/>
        <v>1203</v>
      </c>
      <c r="P33" s="446"/>
      <c r="Q33" s="446"/>
      <c r="R33" s="703">
        <f t="shared" si="25"/>
        <v>0</v>
      </c>
      <c r="S33" s="446"/>
      <c r="T33" s="446"/>
      <c r="U33" s="703">
        <f t="shared" si="78"/>
        <v>0</v>
      </c>
      <c r="V33" s="446"/>
      <c r="W33" s="446">
        <f>133</f>
        <v>133</v>
      </c>
      <c r="X33" s="703">
        <f t="shared" si="8"/>
        <v>133</v>
      </c>
      <c r="Y33" s="446">
        <f>1240+100</f>
        <v>1340</v>
      </c>
      <c r="Z33" s="446"/>
      <c r="AA33" s="1046">
        <f t="shared" si="9"/>
        <v>1340</v>
      </c>
      <c r="AB33" s="446"/>
      <c r="AC33" s="446"/>
      <c r="AD33" s="1042">
        <f t="shared" si="32"/>
        <v>0</v>
      </c>
    </row>
    <row r="34" spans="1:30" s="37" customFormat="1" ht="12.75" customHeight="1" x14ac:dyDescent="0.2">
      <c r="A34" s="503" t="s">
        <v>80</v>
      </c>
      <c r="B34" s="1240" t="s">
        <v>152</v>
      </c>
      <c r="C34" s="1225"/>
      <c r="D34" s="560">
        <f t="shared" si="33"/>
        <v>61118</v>
      </c>
      <c r="E34" s="77">
        <f t="shared" si="34"/>
        <v>133</v>
      </c>
      <c r="F34" s="561">
        <f t="shared" si="35"/>
        <v>61251</v>
      </c>
      <c r="G34" s="858">
        <f>SUM(G29:G33)</f>
        <v>0</v>
      </c>
      <c r="H34" s="47">
        <f t="shared" ref="H34:N34" si="79">SUM(H29:H33)</f>
        <v>0</v>
      </c>
      <c r="I34" s="703">
        <f t="shared" si="4"/>
        <v>0</v>
      </c>
      <c r="J34" s="703">
        <f t="shared" ref="J34" si="80">SUM(J29:J33)</f>
        <v>0</v>
      </c>
      <c r="K34" s="703">
        <f t="shared" si="79"/>
        <v>0</v>
      </c>
      <c r="L34" s="703">
        <f t="shared" si="5"/>
        <v>0</v>
      </c>
      <c r="M34" s="1049">
        <f t="shared" ref="M34" si="81">SUM(M29:M33)</f>
        <v>29108</v>
      </c>
      <c r="N34" s="703">
        <f t="shared" si="79"/>
        <v>0</v>
      </c>
      <c r="O34" s="703">
        <f t="shared" si="6"/>
        <v>29108</v>
      </c>
      <c r="P34" s="703">
        <f t="shared" ref="P34" si="82">SUM(P29:P33)</f>
        <v>3105</v>
      </c>
      <c r="Q34" s="703">
        <f t="shared" ref="Q34:Z34" si="83">SUM(Q29:Q33)</f>
        <v>0</v>
      </c>
      <c r="R34" s="703">
        <f t="shared" si="25"/>
        <v>3105</v>
      </c>
      <c r="S34" s="703">
        <f t="shared" ref="S34:U34" si="84">SUM(S29:S33)</f>
        <v>0</v>
      </c>
      <c r="T34" s="703">
        <f t="shared" si="84"/>
        <v>0</v>
      </c>
      <c r="U34" s="703">
        <f t="shared" si="84"/>
        <v>0</v>
      </c>
      <c r="V34" s="703">
        <f t="shared" ref="V34" si="85">SUM(V29:V33)</f>
        <v>0</v>
      </c>
      <c r="W34" s="703">
        <f t="shared" si="83"/>
        <v>133</v>
      </c>
      <c r="X34" s="703">
        <f t="shared" si="83"/>
        <v>133</v>
      </c>
      <c r="Y34" s="1049">
        <f t="shared" ref="Y34" si="86">SUM(Y29:Y33)</f>
        <v>28760</v>
      </c>
      <c r="Z34" s="703">
        <f t="shared" si="83"/>
        <v>0</v>
      </c>
      <c r="AA34" s="1046">
        <f t="shared" si="9"/>
        <v>28760</v>
      </c>
      <c r="AB34" s="703">
        <f t="shared" ref="AB34" si="87">SUM(AB29:AB33)</f>
        <v>145</v>
      </c>
      <c r="AC34" s="703">
        <f t="shared" ref="AC34" si="88">SUM(AC29:AC33)</f>
        <v>0</v>
      </c>
      <c r="AD34" s="1042">
        <f t="shared" si="32"/>
        <v>145</v>
      </c>
    </row>
    <row r="35" spans="1:30" s="37" customFormat="1" ht="12.75" customHeight="1" x14ac:dyDescent="0.2">
      <c r="A35" s="503" t="s">
        <v>81</v>
      </c>
      <c r="B35" s="1240" t="s">
        <v>151</v>
      </c>
      <c r="C35" s="1225"/>
      <c r="D35" s="560">
        <f t="shared" si="33"/>
        <v>61656</v>
      </c>
      <c r="E35" s="77">
        <f t="shared" si="34"/>
        <v>133</v>
      </c>
      <c r="F35" s="561">
        <f t="shared" si="35"/>
        <v>61789</v>
      </c>
      <c r="G35" s="858">
        <f t="shared" ref="G35" si="89">+G34+G28+G25+G17+G14</f>
        <v>0</v>
      </c>
      <c r="H35" s="47">
        <f t="shared" ref="H35:Q35" si="90">+H34+H28+H25+H17+H14</f>
        <v>0</v>
      </c>
      <c r="I35" s="703">
        <f t="shared" si="4"/>
        <v>0</v>
      </c>
      <c r="J35" s="703">
        <f t="shared" ref="J35" si="91">+J34+J28+J25+J17+J14</f>
        <v>0</v>
      </c>
      <c r="K35" s="703">
        <f t="shared" si="90"/>
        <v>0</v>
      </c>
      <c r="L35" s="703">
        <f t="shared" si="5"/>
        <v>0</v>
      </c>
      <c r="M35" s="1049">
        <f t="shared" ref="M35" si="92">+M34+M28+M25+M17+M14</f>
        <v>29108</v>
      </c>
      <c r="N35" s="703">
        <f t="shared" si="90"/>
        <v>0</v>
      </c>
      <c r="O35" s="703">
        <f t="shared" si="6"/>
        <v>29108</v>
      </c>
      <c r="P35" s="703">
        <f t="shared" ref="P35" si="93">+P34+P28+P25+P17+P14</f>
        <v>3105</v>
      </c>
      <c r="Q35" s="703">
        <f t="shared" si="90"/>
        <v>0</v>
      </c>
      <c r="R35" s="703">
        <f t="shared" si="25"/>
        <v>3105</v>
      </c>
      <c r="S35" s="703">
        <f t="shared" ref="S35:U35" si="94">+S34+S28+S25+S17+S14</f>
        <v>0</v>
      </c>
      <c r="T35" s="703">
        <f t="shared" si="94"/>
        <v>0</v>
      </c>
      <c r="U35" s="703">
        <f t="shared" si="94"/>
        <v>0</v>
      </c>
      <c r="V35" s="703">
        <f t="shared" ref="V35" si="95">+V34+V28+V25+V17+V14</f>
        <v>0</v>
      </c>
      <c r="W35" s="703">
        <f t="shared" ref="W35:Y35" si="96">+W34+W28+W25+W17+W14</f>
        <v>133</v>
      </c>
      <c r="X35" s="703">
        <f t="shared" si="96"/>
        <v>133</v>
      </c>
      <c r="Y35" s="1049">
        <f t="shared" si="96"/>
        <v>28760</v>
      </c>
      <c r="Z35" s="703">
        <f t="shared" ref="Z35" si="97">+Z34+Z28+Z25+Z17+Z14</f>
        <v>0</v>
      </c>
      <c r="AA35" s="1046">
        <f t="shared" si="9"/>
        <v>28760</v>
      </c>
      <c r="AB35" s="703">
        <f t="shared" ref="AB35" si="98">+AB34+AB28+AB25+AB17+AB14</f>
        <v>683</v>
      </c>
      <c r="AC35" s="703">
        <f t="shared" ref="AC35" si="99">+AC34+AC28+AC25+AC17+AC14</f>
        <v>0</v>
      </c>
      <c r="AD35" s="1042">
        <f t="shared" si="32"/>
        <v>683</v>
      </c>
    </row>
    <row r="36" spans="1:30" ht="11.25" customHeight="1" x14ac:dyDescent="0.2">
      <c r="A36" s="504"/>
      <c r="B36" s="695"/>
      <c r="C36" s="303"/>
      <c r="D36" s="715"/>
      <c r="E36" s="701"/>
      <c r="F36" s="716"/>
      <c r="G36" s="857"/>
      <c r="H36" s="50"/>
      <c r="I36" s="804"/>
      <c r="J36" s="600"/>
      <c r="K36" s="600"/>
      <c r="L36" s="804"/>
      <c r="M36" s="1050"/>
      <c r="N36" s="600"/>
      <c r="O36" s="804"/>
      <c r="P36" s="600"/>
      <c r="Q36" s="600"/>
      <c r="R36" s="804"/>
      <c r="S36" s="600"/>
      <c r="T36" s="600"/>
      <c r="U36" s="804"/>
      <c r="V36" s="600"/>
      <c r="W36" s="600"/>
      <c r="X36" s="804"/>
      <c r="Y36" s="600"/>
      <c r="Z36" s="600"/>
      <c r="AA36" s="804"/>
      <c r="AB36" s="1047"/>
      <c r="AC36" s="600"/>
      <c r="AD36" s="1043"/>
    </row>
    <row r="37" spans="1:30" ht="12" customHeight="1" x14ac:dyDescent="0.2">
      <c r="A37" s="504"/>
      <c r="B37" s="1275"/>
      <c r="C37" s="1276"/>
      <c r="D37" s="715"/>
      <c r="E37" s="701"/>
      <c r="F37" s="716"/>
      <c r="G37" s="857"/>
      <c r="H37" s="50"/>
      <c r="I37" s="804"/>
      <c r="J37" s="600"/>
      <c r="K37" s="600"/>
      <c r="L37" s="804"/>
      <c r="M37" s="1050"/>
      <c r="N37" s="600"/>
      <c r="O37" s="804"/>
      <c r="P37" s="600"/>
      <c r="Q37" s="600"/>
      <c r="R37" s="804"/>
      <c r="S37" s="600"/>
      <c r="T37" s="600"/>
      <c r="U37" s="804"/>
      <c r="V37" s="600"/>
      <c r="W37" s="600"/>
      <c r="X37" s="804"/>
      <c r="Y37" s="600"/>
      <c r="Z37" s="600"/>
      <c r="AA37" s="804"/>
      <c r="AB37" s="1047"/>
      <c r="AC37" s="600"/>
      <c r="AD37" s="1043"/>
    </row>
    <row r="38" spans="1:30" ht="12.75" hidden="1" customHeight="1" x14ac:dyDescent="0.2">
      <c r="A38" s="88" t="s">
        <v>96</v>
      </c>
      <c r="B38" s="1277" t="s">
        <v>95</v>
      </c>
      <c r="C38" s="1229"/>
      <c r="D38" s="715">
        <f t="shared" si="28"/>
        <v>0</v>
      </c>
      <c r="E38" s="701">
        <f t="shared" si="29"/>
        <v>0</v>
      </c>
      <c r="F38" s="716">
        <f t="shared" si="30"/>
        <v>0</v>
      </c>
      <c r="G38" s="857"/>
      <c r="H38" s="50"/>
      <c r="I38" s="804">
        <f t="shared" si="4"/>
        <v>0</v>
      </c>
      <c r="J38" s="600"/>
      <c r="K38" s="600"/>
      <c r="L38" s="804">
        <f t="shared" si="5"/>
        <v>0</v>
      </c>
      <c r="M38" s="1050"/>
      <c r="N38" s="600"/>
      <c r="O38" s="804">
        <f t="shared" si="6"/>
        <v>0</v>
      </c>
      <c r="P38" s="600"/>
      <c r="Q38" s="600"/>
      <c r="R38" s="804">
        <f t="shared" si="25"/>
        <v>0</v>
      </c>
      <c r="S38" s="600"/>
      <c r="T38" s="600"/>
      <c r="U38" s="804">
        <f t="shared" ref="U38:U44" si="100">+T38+S38</f>
        <v>0</v>
      </c>
      <c r="V38" s="600"/>
      <c r="W38" s="600"/>
      <c r="X38" s="804">
        <f t="shared" si="8"/>
        <v>0</v>
      </c>
      <c r="Y38" s="600"/>
      <c r="Z38" s="600"/>
      <c r="AA38" s="804">
        <f t="shared" si="9"/>
        <v>0</v>
      </c>
      <c r="AB38" s="1047"/>
      <c r="AC38" s="600"/>
      <c r="AD38" s="1043">
        <f t="shared" ref="AD38:AD44" si="101">+AB38+AC38</f>
        <v>0</v>
      </c>
    </row>
    <row r="39" spans="1:30" ht="12.75" hidden="1" customHeight="1" x14ac:dyDescent="0.2">
      <c r="A39" s="88" t="s">
        <v>98</v>
      </c>
      <c r="B39" s="1277" t="s">
        <v>97</v>
      </c>
      <c r="C39" s="1229"/>
      <c r="D39" s="715">
        <f t="shared" si="28"/>
        <v>0</v>
      </c>
      <c r="E39" s="701">
        <f t="shared" si="29"/>
        <v>0</v>
      </c>
      <c r="F39" s="716">
        <f t="shared" si="30"/>
        <v>0</v>
      </c>
      <c r="G39" s="857"/>
      <c r="H39" s="50"/>
      <c r="I39" s="804">
        <f t="shared" si="4"/>
        <v>0</v>
      </c>
      <c r="J39" s="600"/>
      <c r="K39" s="600"/>
      <c r="L39" s="804">
        <f t="shared" si="5"/>
        <v>0</v>
      </c>
      <c r="M39" s="1050"/>
      <c r="N39" s="600"/>
      <c r="O39" s="804">
        <f t="shared" si="6"/>
        <v>0</v>
      </c>
      <c r="P39" s="600"/>
      <c r="Q39" s="600"/>
      <c r="R39" s="804">
        <f t="shared" si="25"/>
        <v>0</v>
      </c>
      <c r="S39" s="600"/>
      <c r="T39" s="600"/>
      <c r="U39" s="804">
        <f t="shared" si="100"/>
        <v>0</v>
      </c>
      <c r="V39" s="600"/>
      <c r="W39" s="600"/>
      <c r="X39" s="804">
        <f t="shared" si="8"/>
        <v>0</v>
      </c>
      <c r="Y39" s="600"/>
      <c r="Z39" s="600"/>
      <c r="AA39" s="804">
        <f t="shared" si="9"/>
        <v>0</v>
      </c>
      <c r="AB39" s="1047"/>
      <c r="AC39" s="600"/>
      <c r="AD39" s="1043">
        <f t="shared" si="101"/>
        <v>0</v>
      </c>
    </row>
    <row r="40" spans="1:30" ht="23.25" hidden="1" customHeight="1" x14ac:dyDescent="0.2">
      <c r="A40" s="88" t="s">
        <v>101</v>
      </c>
      <c r="B40" s="1277" t="s">
        <v>165</v>
      </c>
      <c r="C40" s="1229"/>
      <c r="D40" s="715">
        <f t="shared" si="28"/>
        <v>0</v>
      </c>
      <c r="E40" s="701">
        <f t="shared" si="29"/>
        <v>0</v>
      </c>
      <c r="F40" s="716">
        <f t="shared" si="30"/>
        <v>0</v>
      </c>
      <c r="G40" s="857"/>
      <c r="H40" s="50"/>
      <c r="I40" s="804">
        <f t="shared" si="4"/>
        <v>0</v>
      </c>
      <c r="J40" s="600"/>
      <c r="K40" s="600"/>
      <c r="L40" s="804">
        <f t="shared" si="5"/>
        <v>0</v>
      </c>
      <c r="M40" s="1050"/>
      <c r="N40" s="600"/>
      <c r="O40" s="804">
        <f t="shared" si="6"/>
        <v>0</v>
      </c>
      <c r="P40" s="600"/>
      <c r="Q40" s="600"/>
      <c r="R40" s="804">
        <f t="shared" si="25"/>
        <v>0</v>
      </c>
      <c r="S40" s="600"/>
      <c r="T40" s="600"/>
      <c r="U40" s="804">
        <f t="shared" si="100"/>
        <v>0</v>
      </c>
      <c r="V40" s="600"/>
      <c r="W40" s="600"/>
      <c r="X40" s="804">
        <f t="shared" si="8"/>
        <v>0</v>
      </c>
      <c r="Y40" s="600"/>
      <c r="Z40" s="600"/>
      <c r="AA40" s="804">
        <f t="shared" si="9"/>
        <v>0</v>
      </c>
      <c r="AB40" s="1047"/>
      <c r="AC40" s="600"/>
      <c r="AD40" s="1043">
        <f t="shared" si="101"/>
        <v>0</v>
      </c>
    </row>
    <row r="41" spans="1:30" ht="25.5" hidden="1" customHeight="1" x14ac:dyDescent="0.2">
      <c r="A41" s="88" t="s">
        <v>103</v>
      </c>
      <c r="B41" s="1277" t="s">
        <v>102</v>
      </c>
      <c r="C41" s="1229"/>
      <c r="D41" s="715">
        <f t="shared" si="28"/>
        <v>0</v>
      </c>
      <c r="E41" s="701">
        <f t="shared" si="29"/>
        <v>0</v>
      </c>
      <c r="F41" s="716">
        <f t="shared" si="30"/>
        <v>0</v>
      </c>
      <c r="G41" s="857"/>
      <c r="H41" s="50"/>
      <c r="I41" s="804">
        <f t="shared" si="4"/>
        <v>0</v>
      </c>
      <c r="J41" s="600"/>
      <c r="K41" s="600"/>
      <c r="L41" s="804">
        <f t="shared" si="5"/>
        <v>0</v>
      </c>
      <c r="M41" s="1050"/>
      <c r="N41" s="600"/>
      <c r="O41" s="804">
        <f t="shared" si="6"/>
        <v>0</v>
      </c>
      <c r="P41" s="600"/>
      <c r="Q41" s="600"/>
      <c r="R41" s="804">
        <f t="shared" si="25"/>
        <v>0</v>
      </c>
      <c r="S41" s="600"/>
      <c r="T41" s="600"/>
      <c r="U41" s="804">
        <f t="shared" si="100"/>
        <v>0</v>
      </c>
      <c r="V41" s="600"/>
      <c r="W41" s="600"/>
      <c r="X41" s="804">
        <f t="shared" si="8"/>
        <v>0</v>
      </c>
      <c r="Y41" s="600"/>
      <c r="Z41" s="600"/>
      <c r="AA41" s="804">
        <f t="shared" si="9"/>
        <v>0</v>
      </c>
      <c r="AB41" s="1047"/>
      <c r="AC41" s="600"/>
      <c r="AD41" s="1043">
        <f t="shared" si="101"/>
        <v>0</v>
      </c>
    </row>
    <row r="42" spans="1:30" ht="27" hidden="1" customHeight="1" x14ac:dyDescent="0.2">
      <c r="A42" s="88" t="s">
        <v>107</v>
      </c>
      <c r="B42" s="1277" t="s">
        <v>164</v>
      </c>
      <c r="C42" s="1229"/>
      <c r="D42" s="715">
        <f t="shared" si="28"/>
        <v>0</v>
      </c>
      <c r="E42" s="701">
        <f t="shared" si="29"/>
        <v>0</v>
      </c>
      <c r="F42" s="716">
        <f t="shared" si="30"/>
        <v>0</v>
      </c>
      <c r="G42" s="857"/>
      <c r="H42" s="50"/>
      <c r="I42" s="804">
        <f t="shared" si="4"/>
        <v>0</v>
      </c>
      <c r="J42" s="600"/>
      <c r="K42" s="600"/>
      <c r="L42" s="804">
        <f t="shared" si="5"/>
        <v>0</v>
      </c>
      <c r="M42" s="1050"/>
      <c r="N42" s="600"/>
      <c r="O42" s="804">
        <f t="shared" si="6"/>
        <v>0</v>
      </c>
      <c r="P42" s="600"/>
      <c r="Q42" s="600"/>
      <c r="R42" s="804">
        <f t="shared" si="25"/>
        <v>0</v>
      </c>
      <c r="S42" s="600"/>
      <c r="T42" s="600"/>
      <c r="U42" s="804">
        <f t="shared" si="100"/>
        <v>0</v>
      </c>
      <c r="V42" s="600"/>
      <c r="W42" s="600"/>
      <c r="X42" s="804">
        <f t="shared" si="8"/>
        <v>0</v>
      </c>
      <c r="Y42" s="600"/>
      <c r="Z42" s="600"/>
      <c r="AA42" s="804">
        <f t="shared" si="9"/>
        <v>0</v>
      </c>
      <c r="AB42" s="1047"/>
      <c r="AC42" s="600"/>
      <c r="AD42" s="1043">
        <f t="shared" si="101"/>
        <v>0</v>
      </c>
    </row>
    <row r="43" spans="1:30" ht="12.75" hidden="1" customHeight="1" x14ac:dyDescent="0.2">
      <c r="A43" s="88" t="s">
        <v>602</v>
      </c>
      <c r="B43" s="1256" t="s">
        <v>106</v>
      </c>
      <c r="C43" s="1257"/>
      <c r="D43" s="715">
        <f t="shared" si="28"/>
        <v>0</v>
      </c>
      <c r="E43" s="701">
        <f t="shared" si="29"/>
        <v>0</v>
      </c>
      <c r="F43" s="716">
        <f t="shared" si="30"/>
        <v>0</v>
      </c>
      <c r="G43" s="857"/>
      <c r="H43" s="50"/>
      <c r="I43" s="804">
        <f t="shared" si="4"/>
        <v>0</v>
      </c>
      <c r="J43" s="600"/>
      <c r="K43" s="600"/>
      <c r="L43" s="804">
        <f t="shared" si="5"/>
        <v>0</v>
      </c>
      <c r="M43" s="1050"/>
      <c r="N43" s="600"/>
      <c r="O43" s="804">
        <f t="shared" si="6"/>
        <v>0</v>
      </c>
      <c r="P43" s="600"/>
      <c r="Q43" s="600"/>
      <c r="R43" s="804">
        <f t="shared" si="25"/>
        <v>0</v>
      </c>
      <c r="S43" s="600"/>
      <c r="T43" s="600"/>
      <c r="U43" s="804">
        <f t="shared" si="100"/>
        <v>0</v>
      </c>
      <c r="V43" s="600"/>
      <c r="W43" s="600"/>
      <c r="X43" s="804">
        <f t="shared" si="8"/>
        <v>0</v>
      </c>
      <c r="Y43" s="600"/>
      <c r="Z43" s="600"/>
      <c r="AA43" s="804">
        <f t="shared" si="9"/>
        <v>0</v>
      </c>
      <c r="AB43" s="1047"/>
      <c r="AC43" s="600"/>
      <c r="AD43" s="1043">
        <f t="shared" si="101"/>
        <v>0</v>
      </c>
    </row>
    <row r="44" spans="1:30" s="37" customFormat="1" ht="12.75" customHeight="1" x14ac:dyDescent="0.2">
      <c r="A44" s="503" t="s">
        <v>108</v>
      </c>
      <c r="B44" s="1240" t="s">
        <v>163</v>
      </c>
      <c r="C44" s="1225"/>
      <c r="D44" s="560">
        <f>+G44+J44+M44+P44+Y44+V44+AB44+S44</f>
        <v>0</v>
      </c>
      <c r="E44" s="77">
        <f t="shared" ref="E44" si="102">+H44+K44+N44+Q44+Z44+W44+AC44+T44</f>
        <v>0</v>
      </c>
      <c r="F44" s="561">
        <f t="shared" ref="F44" si="103">+I44+L44+O44+R44+AA44+X44+AD44+U44</f>
        <v>0</v>
      </c>
      <c r="G44" s="562"/>
      <c r="H44" s="47"/>
      <c r="I44" s="703">
        <f t="shared" si="4"/>
        <v>0</v>
      </c>
      <c r="J44" s="703"/>
      <c r="K44" s="703"/>
      <c r="L44" s="703">
        <f t="shared" si="5"/>
        <v>0</v>
      </c>
      <c r="M44" s="1051"/>
      <c r="N44" s="703"/>
      <c r="O44" s="703">
        <f t="shared" si="6"/>
        <v>0</v>
      </c>
      <c r="P44" s="703"/>
      <c r="Q44" s="703"/>
      <c r="R44" s="703">
        <f t="shared" si="25"/>
        <v>0</v>
      </c>
      <c r="S44" s="703"/>
      <c r="T44" s="703"/>
      <c r="U44" s="703">
        <f t="shared" si="100"/>
        <v>0</v>
      </c>
      <c r="V44" s="703"/>
      <c r="W44" s="703"/>
      <c r="X44" s="703">
        <f t="shared" si="8"/>
        <v>0</v>
      </c>
      <c r="Y44" s="703"/>
      <c r="Z44" s="703"/>
      <c r="AA44" s="1046">
        <f t="shared" si="9"/>
        <v>0</v>
      </c>
      <c r="AB44" s="703"/>
      <c r="AC44" s="703"/>
      <c r="AD44" s="1042">
        <f t="shared" si="101"/>
        <v>0</v>
      </c>
    </row>
    <row r="45" spans="1:30" ht="12" customHeight="1" x14ac:dyDescent="0.2">
      <c r="A45" s="504"/>
      <c r="B45" s="695"/>
      <c r="C45" s="303"/>
      <c r="D45" s="715"/>
      <c r="E45" s="701"/>
      <c r="F45" s="716"/>
      <c r="G45" s="857"/>
      <c r="H45" s="50"/>
      <c r="I45" s="804"/>
      <c r="J45" s="600"/>
      <c r="K45" s="600"/>
      <c r="L45" s="804"/>
      <c r="M45" s="1050"/>
      <c r="N45" s="600"/>
      <c r="O45" s="804"/>
      <c r="P45" s="600"/>
      <c r="Q45" s="600"/>
      <c r="R45" s="804"/>
      <c r="S45" s="600"/>
      <c r="T45" s="600"/>
      <c r="U45" s="804"/>
      <c r="V45" s="600"/>
      <c r="W45" s="600"/>
      <c r="X45" s="804"/>
      <c r="Y45" s="600"/>
      <c r="Z45" s="600"/>
      <c r="AA45" s="804"/>
      <c r="AB45" s="1047"/>
      <c r="AC45" s="600"/>
      <c r="AD45" s="1043"/>
    </row>
    <row r="46" spans="1:30" ht="12.75" customHeight="1" x14ac:dyDescent="0.2">
      <c r="A46" s="505" t="s">
        <v>110</v>
      </c>
      <c r="B46" s="1236" t="s">
        <v>109</v>
      </c>
      <c r="C46" s="1235"/>
      <c r="D46" s="560">
        <f t="shared" ref="D46:D53" si="104">+G46+J46+M46+P46+Y46+V46+AB46+S46</f>
        <v>400</v>
      </c>
      <c r="E46" s="77">
        <f t="shared" ref="E46:E53" si="105">+H46+K46+N46+Q46+Z46+W46+AC46+T46</f>
        <v>2300</v>
      </c>
      <c r="F46" s="561">
        <f t="shared" ref="F46:F53" si="106">+I46+L46+O46+R46+AA46+X46+AD46+U46</f>
        <v>2700</v>
      </c>
      <c r="G46" s="563"/>
      <c r="H46" s="23"/>
      <c r="I46" s="703">
        <f t="shared" si="4"/>
        <v>0</v>
      </c>
      <c r="J46" s="446"/>
      <c r="K46" s="446"/>
      <c r="L46" s="703">
        <f t="shared" si="5"/>
        <v>0</v>
      </c>
      <c r="M46" s="1048"/>
      <c r="N46" s="446"/>
      <c r="O46" s="703">
        <f t="shared" si="6"/>
        <v>0</v>
      </c>
      <c r="P46" s="446">
        <v>400</v>
      </c>
      <c r="Q46" s="446">
        <v>2300</v>
      </c>
      <c r="R46" s="703">
        <f t="shared" si="25"/>
        <v>2700</v>
      </c>
      <c r="S46" s="446"/>
      <c r="T46" s="446"/>
      <c r="U46" s="703">
        <f t="shared" ref="U46:U52" si="107">+T46+S46</f>
        <v>0</v>
      </c>
      <c r="V46" s="446"/>
      <c r="W46" s="446"/>
      <c r="X46" s="703">
        <f t="shared" si="8"/>
        <v>0</v>
      </c>
      <c r="Y46" s="446"/>
      <c r="Z46" s="446"/>
      <c r="AA46" s="1046">
        <f t="shared" si="9"/>
        <v>0</v>
      </c>
      <c r="AB46" s="446"/>
      <c r="AC46" s="446"/>
      <c r="AD46" s="1042">
        <f t="shared" ref="AD46:AD53" si="108">+AB46+AC46</f>
        <v>0</v>
      </c>
    </row>
    <row r="47" spans="1:30" ht="12.75" customHeight="1" x14ac:dyDescent="0.2">
      <c r="A47" s="505" t="s">
        <v>111</v>
      </c>
      <c r="B47" s="1236" t="s">
        <v>162</v>
      </c>
      <c r="C47" s="1235"/>
      <c r="D47" s="560">
        <f t="shared" si="104"/>
        <v>233946</v>
      </c>
      <c r="E47" s="77">
        <f t="shared" si="105"/>
        <v>20038</v>
      </c>
      <c r="F47" s="561">
        <f t="shared" si="106"/>
        <v>253984</v>
      </c>
      <c r="G47" s="563">
        <v>24011</v>
      </c>
      <c r="H47" s="23"/>
      <c r="I47" s="703">
        <f t="shared" si="4"/>
        <v>24011</v>
      </c>
      <c r="J47" s="446">
        <v>1000</v>
      </c>
      <c r="K47" s="446"/>
      <c r="L47" s="703">
        <f t="shared" si="5"/>
        <v>1000</v>
      </c>
      <c r="M47" s="1048">
        <v>103356</v>
      </c>
      <c r="N47" s="446">
        <v>130</v>
      </c>
      <c r="O47" s="703">
        <f t="shared" si="6"/>
        <v>103486</v>
      </c>
      <c r="P47" s="446">
        <v>25541</v>
      </c>
      <c r="Q47" s="446">
        <f>1650+787+2030+686+1221+1010+224+768+36+396</f>
        <v>8808</v>
      </c>
      <c r="R47" s="703">
        <f t="shared" si="25"/>
        <v>34349</v>
      </c>
      <c r="S47" s="446">
        <v>9500</v>
      </c>
      <c r="T47" s="446">
        <f>10000+1100</f>
        <v>11100</v>
      </c>
      <c r="U47" s="703">
        <f t="shared" si="107"/>
        <v>20600</v>
      </c>
      <c r="V47" s="446">
        <v>7732</v>
      </c>
      <c r="W47" s="446"/>
      <c r="X47" s="703">
        <f t="shared" si="8"/>
        <v>7732</v>
      </c>
      <c r="Y47" s="446">
        <v>62806</v>
      </c>
      <c r="Z47" s="446"/>
      <c r="AA47" s="1046">
        <f t="shared" si="9"/>
        <v>62806</v>
      </c>
      <c r="AB47" s="446"/>
      <c r="AC47" s="446"/>
      <c r="AD47" s="1042">
        <f t="shared" si="108"/>
        <v>0</v>
      </c>
    </row>
    <row r="48" spans="1:30" ht="12.75" customHeight="1" x14ac:dyDescent="0.2">
      <c r="A48" s="505" t="s">
        <v>114</v>
      </c>
      <c r="B48" s="1236" t="s">
        <v>113</v>
      </c>
      <c r="C48" s="1235"/>
      <c r="D48" s="560">
        <f t="shared" si="104"/>
        <v>1288</v>
      </c>
      <c r="E48" s="77">
        <f t="shared" si="105"/>
        <v>0</v>
      </c>
      <c r="F48" s="561">
        <f t="shared" si="106"/>
        <v>1288</v>
      </c>
      <c r="G48" s="563"/>
      <c r="H48" s="23"/>
      <c r="I48" s="703">
        <f t="shared" si="4"/>
        <v>0</v>
      </c>
      <c r="J48" s="446"/>
      <c r="K48" s="446"/>
      <c r="L48" s="703">
        <f t="shared" si="5"/>
        <v>0</v>
      </c>
      <c r="M48" s="1048"/>
      <c r="N48" s="446"/>
      <c r="O48" s="703">
        <f t="shared" si="6"/>
        <v>0</v>
      </c>
      <c r="P48" s="446"/>
      <c r="Q48" s="446"/>
      <c r="R48" s="703">
        <f t="shared" si="25"/>
        <v>0</v>
      </c>
      <c r="S48" s="446"/>
      <c r="T48" s="446"/>
      <c r="U48" s="703">
        <f t="shared" si="107"/>
        <v>0</v>
      </c>
      <c r="V48" s="446"/>
      <c r="W48" s="446"/>
      <c r="X48" s="703">
        <f t="shared" si="8"/>
        <v>0</v>
      </c>
      <c r="Y48" s="446">
        <v>1288</v>
      </c>
      <c r="Z48" s="446"/>
      <c r="AA48" s="1046">
        <f t="shared" si="9"/>
        <v>1288</v>
      </c>
      <c r="AB48" s="446"/>
      <c r="AC48" s="446"/>
      <c r="AD48" s="1042">
        <f t="shared" si="108"/>
        <v>0</v>
      </c>
    </row>
    <row r="49" spans="1:30" ht="12.75" customHeight="1" x14ac:dyDescent="0.2">
      <c r="A49" s="505" t="s">
        <v>116</v>
      </c>
      <c r="B49" s="1236" t="s">
        <v>115</v>
      </c>
      <c r="C49" s="1235"/>
      <c r="D49" s="560">
        <f t="shared" si="104"/>
        <v>796</v>
      </c>
      <c r="E49" s="77">
        <f t="shared" si="105"/>
        <v>4481</v>
      </c>
      <c r="F49" s="561">
        <f t="shared" si="106"/>
        <v>5277</v>
      </c>
      <c r="G49" s="563"/>
      <c r="H49" s="23"/>
      <c r="I49" s="703">
        <f t="shared" si="4"/>
        <v>0</v>
      </c>
      <c r="J49" s="446"/>
      <c r="K49" s="446"/>
      <c r="L49" s="703">
        <f t="shared" si="5"/>
        <v>0</v>
      </c>
      <c r="M49" s="1048"/>
      <c r="N49" s="446"/>
      <c r="O49" s="703">
        <f t="shared" si="6"/>
        <v>0</v>
      </c>
      <c r="P49" s="446">
        <v>796</v>
      </c>
      <c r="Q49" s="446">
        <f>87+919+1131+460+841+1043</f>
        <v>4481</v>
      </c>
      <c r="R49" s="703">
        <f t="shared" si="25"/>
        <v>5277</v>
      </c>
      <c r="S49" s="446"/>
      <c r="T49" s="446"/>
      <c r="U49" s="703">
        <f t="shared" si="107"/>
        <v>0</v>
      </c>
      <c r="V49" s="446"/>
      <c r="W49" s="446"/>
      <c r="X49" s="703">
        <f t="shared" si="8"/>
        <v>0</v>
      </c>
      <c r="Y49" s="446"/>
      <c r="Z49" s="446"/>
      <c r="AA49" s="1046">
        <f t="shared" si="9"/>
        <v>0</v>
      </c>
      <c r="AB49" s="446"/>
      <c r="AC49" s="446"/>
      <c r="AD49" s="1042">
        <f t="shared" si="108"/>
        <v>0</v>
      </c>
    </row>
    <row r="50" spans="1:30" ht="12.75" customHeight="1" x14ac:dyDescent="0.2">
      <c r="A50" s="505" t="s">
        <v>118</v>
      </c>
      <c r="B50" s="1236" t="s">
        <v>117</v>
      </c>
      <c r="C50" s="1235"/>
      <c r="D50" s="560">
        <f t="shared" si="104"/>
        <v>0</v>
      </c>
      <c r="E50" s="77">
        <f t="shared" si="105"/>
        <v>0</v>
      </c>
      <c r="F50" s="561">
        <f t="shared" si="106"/>
        <v>0</v>
      </c>
      <c r="G50" s="563"/>
      <c r="H50" s="23"/>
      <c r="I50" s="703">
        <f t="shared" si="4"/>
        <v>0</v>
      </c>
      <c r="J50" s="446"/>
      <c r="K50" s="446"/>
      <c r="L50" s="703">
        <f t="shared" si="5"/>
        <v>0</v>
      </c>
      <c r="M50" s="1048"/>
      <c r="N50" s="446"/>
      <c r="O50" s="703">
        <f t="shared" si="6"/>
        <v>0</v>
      </c>
      <c r="P50" s="446"/>
      <c r="Q50" s="446"/>
      <c r="R50" s="703">
        <f t="shared" si="25"/>
        <v>0</v>
      </c>
      <c r="S50" s="446"/>
      <c r="T50" s="446"/>
      <c r="U50" s="703">
        <f t="shared" si="107"/>
        <v>0</v>
      </c>
      <c r="V50" s="446"/>
      <c r="W50" s="446"/>
      <c r="X50" s="703">
        <f t="shared" si="8"/>
        <v>0</v>
      </c>
      <c r="Y50" s="446"/>
      <c r="Z50" s="446"/>
      <c r="AA50" s="1046">
        <f t="shared" si="9"/>
        <v>0</v>
      </c>
      <c r="AB50" s="446"/>
      <c r="AC50" s="446"/>
      <c r="AD50" s="1042">
        <f t="shared" si="108"/>
        <v>0</v>
      </c>
    </row>
    <row r="51" spans="1:30" ht="12.75" customHeight="1" x14ac:dyDescent="0.2">
      <c r="A51" s="505" t="s">
        <v>120</v>
      </c>
      <c r="B51" s="1236" t="s">
        <v>119</v>
      </c>
      <c r="C51" s="1235"/>
      <c r="D51" s="560">
        <f t="shared" si="104"/>
        <v>0</v>
      </c>
      <c r="E51" s="77">
        <f t="shared" si="105"/>
        <v>0</v>
      </c>
      <c r="F51" s="561">
        <f t="shared" si="106"/>
        <v>0</v>
      </c>
      <c r="G51" s="563"/>
      <c r="H51" s="23"/>
      <c r="I51" s="703">
        <f t="shared" si="4"/>
        <v>0</v>
      </c>
      <c r="J51" s="446"/>
      <c r="K51" s="446"/>
      <c r="L51" s="703">
        <f t="shared" si="5"/>
        <v>0</v>
      </c>
      <c r="M51" s="1048"/>
      <c r="N51" s="446"/>
      <c r="O51" s="703">
        <f t="shared" si="6"/>
        <v>0</v>
      </c>
      <c r="P51" s="446"/>
      <c r="Q51" s="446"/>
      <c r="R51" s="703">
        <f t="shared" si="25"/>
        <v>0</v>
      </c>
      <c r="S51" s="446"/>
      <c r="T51" s="446"/>
      <c r="U51" s="703">
        <f t="shared" si="107"/>
        <v>0</v>
      </c>
      <c r="V51" s="446"/>
      <c r="W51" s="446"/>
      <c r="X51" s="703">
        <f t="shared" si="8"/>
        <v>0</v>
      </c>
      <c r="Y51" s="446"/>
      <c r="Z51" s="446"/>
      <c r="AA51" s="1046">
        <f t="shared" si="9"/>
        <v>0</v>
      </c>
      <c r="AB51" s="446"/>
      <c r="AC51" s="446"/>
      <c r="AD51" s="1042">
        <f t="shared" si="108"/>
        <v>0</v>
      </c>
    </row>
    <row r="52" spans="1:30" ht="12.75" customHeight="1" x14ac:dyDescent="0.2">
      <c r="A52" s="505" t="s">
        <v>122</v>
      </c>
      <c r="B52" s="1236" t="s">
        <v>121</v>
      </c>
      <c r="C52" s="1235"/>
      <c r="D52" s="560">
        <f t="shared" si="104"/>
        <v>12533</v>
      </c>
      <c r="E52" s="77">
        <f t="shared" si="105"/>
        <v>3573</v>
      </c>
      <c r="F52" s="561">
        <f t="shared" si="106"/>
        <v>16106</v>
      </c>
      <c r="G52" s="563"/>
      <c r="H52" s="23"/>
      <c r="I52" s="703">
        <f t="shared" si="4"/>
        <v>0</v>
      </c>
      <c r="J52" s="446">
        <v>270</v>
      </c>
      <c r="K52" s="446"/>
      <c r="L52" s="703">
        <f t="shared" si="5"/>
        <v>270</v>
      </c>
      <c r="M52" s="1048"/>
      <c r="N52" s="446">
        <v>35</v>
      </c>
      <c r="O52" s="703">
        <f t="shared" si="6"/>
        <v>35</v>
      </c>
      <c r="P52" s="446">
        <v>3645</v>
      </c>
      <c r="Q52" s="446">
        <f>445+213+548+23+248+306+185+273+60+621+227+107+282</f>
        <v>3538</v>
      </c>
      <c r="R52" s="703">
        <f t="shared" si="25"/>
        <v>7183</v>
      </c>
      <c r="S52" s="446"/>
      <c r="T52" s="446"/>
      <c r="U52" s="703">
        <f t="shared" si="107"/>
        <v>0</v>
      </c>
      <c r="V52" s="446">
        <v>2088</v>
      </c>
      <c r="W52" s="446"/>
      <c r="X52" s="703">
        <f t="shared" si="8"/>
        <v>2088</v>
      </c>
      <c r="Y52" s="446">
        <v>6530</v>
      </c>
      <c r="Z52" s="446"/>
      <c r="AA52" s="1046">
        <f t="shared" si="9"/>
        <v>6530</v>
      </c>
      <c r="AB52" s="446"/>
      <c r="AC52" s="446"/>
      <c r="AD52" s="1042">
        <f t="shared" si="108"/>
        <v>0</v>
      </c>
    </row>
    <row r="53" spans="1:30" s="37" customFormat="1" ht="12.75" customHeight="1" x14ac:dyDescent="0.2">
      <c r="A53" s="503" t="s">
        <v>123</v>
      </c>
      <c r="B53" s="1240" t="s">
        <v>161</v>
      </c>
      <c r="C53" s="1225"/>
      <c r="D53" s="560">
        <f t="shared" si="104"/>
        <v>248963</v>
      </c>
      <c r="E53" s="77">
        <f t="shared" si="105"/>
        <v>30392</v>
      </c>
      <c r="F53" s="561">
        <f t="shared" si="106"/>
        <v>279355</v>
      </c>
      <c r="G53" s="562">
        <f t="shared" ref="G53" si="109">+G52+G51+G50+G49+G48+G47+G46</f>
        <v>24011</v>
      </c>
      <c r="H53" s="47">
        <f t="shared" ref="H53:Q53" si="110">+H52+H51+H50+H49+H48+H47+H46</f>
        <v>0</v>
      </c>
      <c r="I53" s="703">
        <f t="shared" si="4"/>
        <v>24011</v>
      </c>
      <c r="J53" s="703">
        <f t="shared" ref="J53" si="111">+J52+J51+J50+J49+J48+J47+J46</f>
        <v>1270</v>
      </c>
      <c r="K53" s="703">
        <f t="shared" si="110"/>
        <v>0</v>
      </c>
      <c r="L53" s="703">
        <f t="shared" si="5"/>
        <v>1270</v>
      </c>
      <c r="M53" s="1051">
        <f t="shared" ref="M53" si="112">+M52+M51+M50+M49+M48+M47+M46</f>
        <v>103356</v>
      </c>
      <c r="N53" s="703">
        <f t="shared" si="110"/>
        <v>165</v>
      </c>
      <c r="O53" s="703">
        <f t="shared" si="6"/>
        <v>103521</v>
      </c>
      <c r="P53" s="703">
        <f t="shared" ref="P53" si="113">+P52+P51+P50+P49+P48+P47+P46</f>
        <v>30382</v>
      </c>
      <c r="Q53" s="703">
        <f t="shared" si="110"/>
        <v>19127</v>
      </c>
      <c r="R53" s="703">
        <f t="shared" si="25"/>
        <v>49509</v>
      </c>
      <c r="S53" s="703">
        <f t="shared" ref="S53" si="114">+S52+S51+S50+S49+S48+S47+S46</f>
        <v>9500</v>
      </c>
      <c r="T53" s="703">
        <f>+T52+T51+T50+T49+T48+T47+T46</f>
        <v>11100</v>
      </c>
      <c r="U53" s="703">
        <f t="shared" ref="U53" si="115">+U52+U51+U50+U49+U48+U47+U46</f>
        <v>20600</v>
      </c>
      <c r="V53" s="703">
        <f t="shared" ref="V53" si="116">+V52+V51+V50+V49+V48+V47+V46</f>
        <v>9820</v>
      </c>
      <c r="W53" s="703">
        <f>+W52+W51+W50+W49+W48+W47+W46</f>
        <v>0</v>
      </c>
      <c r="X53" s="703">
        <f t="shared" ref="X53:Y53" si="117">+X52+X51+X50+X49+X48+X47+X46</f>
        <v>9820</v>
      </c>
      <c r="Y53" s="703">
        <f t="shared" si="117"/>
        <v>70624</v>
      </c>
      <c r="Z53" s="703">
        <f t="shared" ref="Z53" si="118">+Z52+Z51+Z50+Z49+Z48+Z47+Z46</f>
        <v>0</v>
      </c>
      <c r="AA53" s="1046">
        <f t="shared" si="9"/>
        <v>70624</v>
      </c>
      <c r="AB53" s="703">
        <f t="shared" ref="AB53" si="119">+AB52+AB51+AB50+AB49+AB48+AB47+AB46</f>
        <v>0</v>
      </c>
      <c r="AC53" s="703">
        <f t="shared" ref="AC53" si="120">+AC52+AC51+AC50+AC49+AC48+AC47+AC46</f>
        <v>0</v>
      </c>
      <c r="AD53" s="1042">
        <f t="shared" si="108"/>
        <v>0</v>
      </c>
    </row>
    <row r="54" spans="1:30" x14ac:dyDescent="0.2">
      <c r="A54" s="504"/>
      <c r="B54" s="695"/>
      <c r="C54" s="303"/>
      <c r="D54" s="715"/>
      <c r="E54" s="701"/>
      <c r="F54" s="716"/>
      <c r="G54" s="857"/>
      <c r="H54" s="50"/>
      <c r="I54" s="804"/>
      <c r="J54" s="600"/>
      <c r="K54" s="600"/>
      <c r="L54" s="804"/>
      <c r="M54" s="600"/>
      <c r="N54" s="600"/>
      <c r="O54" s="804"/>
      <c r="P54" s="600"/>
      <c r="Q54" s="600"/>
      <c r="R54" s="804"/>
      <c r="S54" s="600"/>
      <c r="T54" s="600"/>
      <c r="U54" s="804"/>
      <c r="V54" s="600"/>
      <c r="W54" s="600"/>
      <c r="X54" s="804"/>
      <c r="Y54" s="600"/>
      <c r="Z54" s="600"/>
      <c r="AA54" s="804"/>
      <c r="AB54" s="1047"/>
      <c r="AC54" s="600"/>
      <c r="AD54" s="1043"/>
    </row>
    <row r="55" spans="1:30" ht="12.75" customHeight="1" x14ac:dyDescent="0.2">
      <c r="A55" s="505" t="s">
        <v>125</v>
      </c>
      <c r="B55" s="1236" t="s">
        <v>124</v>
      </c>
      <c r="C55" s="1235"/>
      <c r="D55" s="560">
        <f t="shared" ref="D55:D59" si="121">+G55+J55+M55+P55+Y55+V55+AB55+S55</f>
        <v>24438</v>
      </c>
      <c r="E55" s="77">
        <f t="shared" ref="E55:E59" si="122">+H55+K55+N55+Q55+Z55+W55+AC55+T55</f>
        <v>0</v>
      </c>
      <c r="F55" s="561">
        <f t="shared" ref="F55:F59" si="123">+I55+L55+O55+R55+AA55+X55+AD55+U55</f>
        <v>24438</v>
      </c>
      <c r="G55" s="563"/>
      <c r="H55" s="23"/>
      <c r="I55" s="703">
        <f t="shared" si="4"/>
        <v>0</v>
      </c>
      <c r="J55" s="446"/>
      <c r="K55" s="446"/>
      <c r="L55" s="703">
        <f t="shared" si="5"/>
        <v>0</v>
      </c>
      <c r="M55" s="446"/>
      <c r="N55" s="446"/>
      <c r="O55" s="703">
        <f t="shared" si="6"/>
        <v>0</v>
      </c>
      <c r="P55" s="446"/>
      <c r="Q55" s="446"/>
      <c r="R55" s="703">
        <f t="shared" si="25"/>
        <v>0</v>
      </c>
      <c r="S55" s="446"/>
      <c r="T55" s="446"/>
      <c r="U55" s="703">
        <f t="shared" ref="U55:U59" si="124">+T55+S55</f>
        <v>0</v>
      </c>
      <c r="V55" s="446">
        <v>428</v>
      </c>
      <c r="W55" s="446"/>
      <c r="X55" s="703">
        <f t="shared" si="8"/>
        <v>428</v>
      </c>
      <c r="Y55" s="446"/>
      <c r="Z55" s="446"/>
      <c r="AA55" s="1046">
        <f t="shared" si="9"/>
        <v>0</v>
      </c>
      <c r="AB55" s="446">
        <v>24010</v>
      </c>
      <c r="AC55" s="446"/>
      <c r="AD55" s="1042">
        <f t="shared" ref="AD55:AD59" si="125">+AB55+AC55</f>
        <v>24010</v>
      </c>
    </row>
    <row r="56" spans="1:30" ht="12.75" customHeight="1" x14ac:dyDescent="0.2">
      <c r="A56" s="505" t="s">
        <v>127</v>
      </c>
      <c r="B56" s="1236" t="s">
        <v>126</v>
      </c>
      <c r="C56" s="1235"/>
      <c r="D56" s="560">
        <f t="shared" si="121"/>
        <v>0</v>
      </c>
      <c r="E56" s="77">
        <f t="shared" si="122"/>
        <v>0</v>
      </c>
      <c r="F56" s="561">
        <f t="shared" si="123"/>
        <v>0</v>
      </c>
      <c r="G56" s="563"/>
      <c r="H56" s="23"/>
      <c r="I56" s="703">
        <f t="shared" si="4"/>
        <v>0</v>
      </c>
      <c r="J56" s="446"/>
      <c r="K56" s="446"/>
      <c r="L56" s="703">
        <f t="shared" si="5"/>
        <v>0</v>
      </c>
      <c r="M56" s="446"/>
      <c r="N56" s="446"/>
      <c r="O56" s="703">
        <f t="shared" si="6"/>
        <v>0</v>
      </c>
      <c r="P56" s="446"/>
      <c r="Q56" s="446"/>
      <c r="R56" s="703">
        <f t="shared" si="25"/>
        <v>0</v>
      </c>
      <c r="S56" s="446"/>
      <c r="T56" s="446"/>
      <c r="U56" s="703">
        <f t="shared" si="124"/>
        <v>0</v>
      </c>
      <c r="V56" s="446"/>
      <c r="W56" s="446"/>
      <c r="X56" s="703">
        <f t="shared" si="8"/>
        <v>0</v>
      </c>
      <c r="Y56" s="446"/>
      <c r="Z56" s="446"/>
      <c r="AA56" s="1046">
        <f t="shared" si="9"/>
        <v>0</v>
      </c>
      <c r="AB56" s="446"/>
      <c r="AC56" s="446"/>
      <c r="AD56" s="1042">
        <f t="shared" si="125"/>
        <v>0</v>
      </c>
    </row>
    <row r="57" spans="1:30" ht="12.75" customHeight="1" x14ac:dyDescent="0.2">
      <c r="A57" s="505" t="s">
        <v>129</v>
      </c>
      <c r="B57" s="1236" t="s">
        <v>128</v>
      </c>
      <c r="C57" s="1235"/>
      <c r="D57" s="560">
        <f t="shared" si="121"/>
        <v>0</v>
      </c>
      <c r="E57" s="77">
        <f t="shared" si="122"/>
        <v>0</v>
      </c>
      <c r="F57" s="561">
        <f t="shared" si="123"/>
        <v>0</v>
      </c>
      <c r="G57" s="563"/>
      <c r="H57" s="23"/>
      <c r="I57" s="703">
        <f t="shared" si="4"/>
        <v>0</v>
      </c>
      <c r="J57" s="446"/>
      <c r="K57" s="446"/>
      <c r="L57" s="703">
        <f t="shared" si="5"/>
        <v>0</v>
      </c>
      <c r="M57" s="446"/>
      <c r="N57" s="446"/>
      <c r="O57" s="703">
        <f t="shared" si="6"/>
        <v>0</v>
      </c>
      <c r="P57" s="446"/>
      <c r="Q57" s="446"/>
      <c r="R57" s="703">
        <f t="shared" si="25"/>
        <v>0</v>
      </c>
      <c r="S57" s="446"/>
      <c r="T57" s="446"/>
      <c r="U57" s="703">
        <f t="shared" si="124"/>
        <v>0</v>
      </c>
      <c r="V57" s="446"/>
      <c r="W57" s="446"/>
      <c r="X57" s="703">
        <f t="shared" si="8"/>
        <v>0</v>
      </c>
      <c r="Y57" s="446"/>
      <c r="Z57" s="446"/>
      <c r="AA57" s="1046">
        <f t="shared" si="9"/>
        <v>0</v>
      </c>
      <c r="AB57" s="446"/>
      <c r="AC57" s="446"/>
      <c r="AD57" s="1042">
        <f t="shared" si="125"/>
        <v>0</v>
      </c>
    </row>
    <row r="58" spans="1:30" ht="12.75" customHeight="1" x14ac:dyDescent="0.2">
      <c r="A58" s="505" t="s">
        <v>131</v>
      </c>
      <c r="B58" s="1236" t="s">
        <v>130</v>
      </c>
      <c r="C58" s="1235"/>
      <c r="D58" s="560">
        <f t="shared" si="121"/>
        <v>6599</v>
      </c>
      <c r="E58" s="77">
        <f t="shared" si="122"/>
        <v>0</v>
      </c>
      <c r="F58" s="561">
        <f t="shared" si="123"/>
        <v>6599</v>
      </c>
      <c r="G58" s="563"/>
      <c r="H58" s="23"/>
      <c r="I58" s="703">
        <f t="shared" si="4"/>
        <v>0</v>
      </c>
      <c r="J58" s="446"/>
      <c r="K58" s="446"/>
      <c r="L58" s="703">
        <f t="shared" si="5"/>
        <v>0</v>
      </c>
      <c r="M58" s="446"/>
      <c r="N58" s="446"/>
      <c r="O58" s="703">
        <f t="shared" si="6"/>
        <v>0</v>
      </c>
      <c r="P58" s="446"/>
      <c r="Q58" s="446"/>
      <c r="R58" s="703">
        <f t="shared" si="25"/>
        <v>0</v>
      </c>
      <c r="S58" s="446"/>
      <c r="T58" s="446"/>
      <c r="U58" s="703">
        <f t="shared" si="124"/>
        <v>0</v>
      </c>
      <c r="V58" s="446">
        <v>116</v>
      </c>
      <c r="W58" s="446"/>
      <c r="X58" s="703">
        <f t="shared" si="8"/>
        <v>116</v>
      </c>
      <c r="Y58" s="446"/>
      <c r="Z58" s="446"/>
      <c r="AA58" s="1046">
        <f t="shared" si="9"/>
        <v>0</v>
      </c>
      <c r="AB58" s="446">
        <v>6483</v>
      </c>
      <c r="AC58" s="446"/>
      <c r="AD58" s="1042">
        <f t="shared" si="125"/>
        <v>6483</v>
      </c>
    </row>
    <row r="59" spans="1:30" s="37" customFormat="1" ht="12.75" customHeight="1" x14ac:dyDescent="0.2">
      <c r="A59" s="503" t="s">
        <v>132</v>
      </c>
      <c r="B59" s="1240" t="s">
        <v>160</v>
      </c>
      <c r="C59" s="1225"/>
      <c r="D59" s="560">
        <f t="shared" si="121"/>
        <v>31037</v>
      </c>
      <c r="E59" s="77">
        <f t="shared" si="122"/>
        <v>0</v>
      </c>
      <c r="F59" s="561">
        <f t="shared" si="123"/>
        <v>31037</v>
      </c>
      <c r="G59" s="858">
        <f>SUM(G55:G58)</f>
        <v>0</v>
      </c>
      <c r="H59" s="559">
        <f>SUM(H55:H58)</f>
        <v>0</v>
      </c>
      <c r="I59" s="703">
        <f t="shared" si="4"/>
        <v>0</v>
      </c>
      <c r="J59" s="703">
        <f t="shared" ref="J59" si="126">SUM(J55:J58)</f>
        <v>0</v>
      </c>
      <c r="K59" s="703">
        <f>SUM(K55:K58)</f>
        <v>0</v>
      </c>
      <c r="L59" s="703">
        <f t="shared" si="5"/>
        <v>0</v>
      </c>
      <c r="M59" s="703">
        <f t="shared" ref="M59" si="127">SUM(M55:M58)</f>
        <v>0</v>
      </c>
      <c r="N59" s="703">
        <f>SUM(N55:N58)</f>
        <v>0</v>
      </c>
      <c r="O59" s="703">
        <f t="shared" si="6"/>
        <v>0</v>
      </c>
      <c r="P59" s="703">
        <f t="shared" ref="P59" si="128">SUM(P55:P58)</f>
        <v>0</v>
      </c>
      <c r="Q59" s="703">
        <f>SUM(Q55:Q58)</f>
        <v>0</v>
      </c>
      <c r="R59" s="703">
        <f t="shared" si="25"/>
        <v>0</v>
      </c>
      <c r="S59" s="703">
        <f t="shared" ref="S59" si="129">SUM(S55:S58)</f>
        <v>0</v>
      </c>
      <c r="T59" s="703">
        <f>SUM(T55:T58)</f>
        <v>0</v>
      </c>
      <c r="U59" s="703">
        <f t="shared" si="124"/>
        <v>0</v>
      </c>
      <c r="V59" s="703">
        <f t="shared" ref="V59" si="130">SUM(V55:V58)</f>
        <v>544</v>
      </c>
      <c r="W59" s="703">
        <f>SUM(W55:W58)</f>
        <v>0</v>
      </c>
      <c r="X59" s="703">
        <f t="shared" si="8"/>
        <v>544</v>
      </c>
      <c r="Y59" s="703">
        <f t="shared" ref="Y59" si="131">SUM(Y55:Y58)</f>
        <v>0</v>
      </c>
      <c r="Z59" s="703">
        <f>SUM(Z55:Z58)</f>
        <v>0</v>
      </c>
      <c r="AA59" s="1046">
        <f t="shared" si="9"/>
        <v>0</v>
      </c>
      <c r="AB59" s="703">
        <f>SUM(AB55:AB58)</f>
        <v>30493</v>
      </c>
      <c r="AC59" s="703">
        <f>SUM(AC55:AC58)</f>
        <v>0</v>
      </c>
      <c r="AD59" s="1042">
        <f t="shared" si="125"/>
        <v>30493</v>
      </c>
    </row>
    <row r="60" spans="1:30" x14ac:dyDescent="0.2">
      <c r="A60" s="504"/>
      <c r="B60" s="695"/>
      <c r="C60" s="303"/>
      <c r="D60" s="715"/>
      <c r="E60" s="701"/>
      <c r="F60" s="716"/>
      <c r="G60" s="857"/>
      <c r="H60" s="50"/>
      <c r="I60" s="804"/>
      <c r="J60" s="600"/>
      <c r="K60" s="600"/>
      <c r="L60" s="804"/>
      <c r="M60" s="600"/>
      <c r="N60" s="600"/>
      <c r="O60" s="804"/>
      <c r="P60" s="600"/>
      <c r="Q60" s="600"/>
      <c r="R60" s="804"/>
      <c r="S60" s="600"/>
      <c r="T60" s="600"/>
      <c r="U60" s="804"/>
      <c r="V60" s="600"/>
      <c r="W60" s="600"/>
      <c r="X60" s="804"/>
      <c r="Y60" s="600"/>
      <c r="Z60" s="600"/>
      <c r="AA60" s="804"/>
      <c r="AB60" s="1047"/>
      <c r="AC60" s="600"/>
      <c r="AD60" s="1043"/>
    </row>
    <row r="61" spans="1:30" hidden="1" x14ac:dyDescent="0.2">
      <c r="A61" s="88" t="s">
        <v>371</v>
      </c>
      <c r="B61" s="1256" t="s">
        <v>372</v>
      </c>
      <c r="C61" s="1257"/>
      <c r="D61" s="715">
        <f t="shared" si="28"/>
        <v>0</v>
      </c>
      <c r="E61" s="701">
        <f t="shared" si="29"/>
        <v>0</v>
      </c>
      <c r="F61" s="716">
        <f t="shared" si="30"/>
        <v>0</v>
      </c>
      <c r="G61" s="857"/>
      <c r="H61" s="50"/>
      <c r="I61" s="804">
        <f t="shared" si="4"/>
        <v>0</v>
      </c>
      <c r="J61" s="600"/>
      <c r="K61" s="600"/>
      <c r="L61" s="804">
        <f t="shared" si="5"/>
        <v>0</v>
      </c>
      <c r="M61" s="600"/>
      <c r="N61" s="600"/>
      <c r="O61" s="804">
        <f t="shared" si="6"/>
        <v>0</v>
      </c>
      <c r="P61" s="600"/>
      <c r="Q61" s="600"/>
      <c r="R61" s="804">
        <f t="shared" si="25"/>
        <v>0</v>
      </c>
      <c r="S61" s="600"/>
      <c r="T61" s="600"/>
      <c r="U61" s="804">
        <f t="shared" ref="U61:U63" si="132">+T61+S61</f>
        <v>0</v>
      </c>
      <c r="V61" s="600"/>
      <c r="W61" s="600"/>
      <c r="X61" s="804">
        <f t="shared" si="8"/>
        <v>0</v>
      </c>
      <c r="Y61" s="600"/>
      <c r="Z61" s="600"/>
      <c r="AA61" s="804">
        <f t="shared" si="9"/>
        <v>0</v>
      </c>
      <c r="AB61" s="1047"/>
      <c r="AC61" s="600"/>
      <c r="AD61" s="1043">
        <f t="shared" ref="AD61:AD64" si="133">+AB61+AC61</f>
        <v>0</v>
      </c>
    </row>
    <row r="62" spans="1:30" hidden="1" x14ac:dyDescent="0.2">
      <c r="A62" s="88" t="s">
        <v>384</v>
      </c>
      <c r="B62" s="1256" t="s">
        <v>385</v>
      </c>
      <c r="C62" s="1257"/>
      <c r="D62" s="715">
        <f t="shared" si="28"/>
        <v>0</v>
      </c>
      <c r="E62" s="701">
        <f t="shared" si="29"/>
        <v>0</v>
      </c>
      <c r="F62" s="716">
        <f t="shared" si="30"/>
        <v>0</v>
      </c>
      <c r="G62" s="857"/>
      <c r="H62" s="50"/>
      <c r="I62" s="804">
        <f t="shared" si="4"/>
        <v>0</v>
      </c>
      <c r="J62" s="600"/>
      <c r="K62" s="600"/>
      <c r="L62" s="804">
        <f t="shared" si="5"/>
        <v>0</v>
      </c>
      <c r="M62" s="600"/>
      <c r="N62" s="600"/>
      <c r="O62" s="804">
        <f t="shared" si="6"/>
        <v>0</v>
      </c>
      <c r="P62" s="600"/>
      <c r="Q62" s="600"/>
      <c r="R62" s="804">
        <f t="shared" si="25"/>
        <v>0</v>
      </c>
      <c r="S62" s="600"/>
      <c r="T62" s="600"/>
      <c r="U62" s="804">
        <f t="shared" si="132"/>
        <v>0</v>
      </c>
      <c r="V62" s="600"/>
      <c r="W62" s="600"/>
      <c r="X62" s="804">
        <f t="shared" si="8"/>
        <v>0</v>
      </c>
      <c r="Y62" s="600"/>
      <c r="Z62" s="600"/>
      <c r="AA62" s="804">
        <f t="shared" si="9"/>
        <v>0</v>
      </c>
      <c r="AB62" s="1047"/>
      <c r="AC62" s="600"/>
      <c r="AD62" s="1043">
        <f t="shared" si="133"/>
        <v>0</v>
      </c>
    </row>
    <row r="63" spans="1:30" ht="12.75" hidden="1" customHeight="1" x14ac:dyDescent="0.2">
      <c r="A63" s="88" t="s">
        <v>603</v>
      </c>
      <c r="B63" s="1256" t="s">
        <v>386</v>
      </c>
      <c r="C63" s="1257"/>
      <c r="D63" s="715">
        <f t="shared" si="28"/>
        <v>0</v>
      </c>
      <c r="E63" s="701">
        <f t="shared" si="29"/>
        <v>0</v>
      </c>
      <c r="F63" s="716">
        <f t="shared" si="30"/>
        <v>0</v>
      </c>
      <c r="G63" s="857"/>
      <c r="H63" s="50"/>
      <c r="I63" s="804">
        <f t="shared" si="4"/>
        <v>0</v>
      </c>
      <c r="J63" s="600"/>
      <c r="K63" s="600"/>
      <c r="L63" s="804">
        <f t="shared" si="5"/>
        <v>0</v>
      </c>
      <c r="M63" s="600"/>
      <c r="N63" s="600"/>
      <c r="O63" s="804">
        <f t="shared" si="6"/>
        <v>0</v>
      </c>
      <c r="P63" s="600"/>
      <c r="Q63" s="600"/>
      <c r="R63" s="804">
        <f t="shared" si="25"/>
        <v>0</v>
      </c>
      <c r="S63" s="600"/>
      <c r="T63" s="600"/>
      <c r="U63" s="804">
        <f t="shared" si="132"/>
        <v>0</v>
      </c>
      <c r="V63" s="600"/>
      <c r="W63" s="600"/>
      <c r="X63" s="804">
        <f t="shared" si="8"/>
        <v>0</v>
      </c>
      <c r="Y63" s="600"/>
      <c r="Z63" s="600"/>
      <c r="AA63" s="804">
        <f t="shared" si="9"/>
        <v>0</v>
      </c>
      <c r="AB63" s="1047"/>
      <c r="AC63" s="600"/>
      <c r="AD63" s="1043">
        <f t="shared" si="133"/>
        <v>0</v>
      </c>
    </row>
    <row r="64" spans="1:30" s="37" customFormat="1" ht="12.75" customHeight="1" x14ac:dyDescent="0.2">
      <c r="A64" s="503" t="s">
        <v>134</v>
      </c>
      <c r="B64" s="1240" t="s">
        <v>158</v>
      </c>
      <c r="C64" s="1225"/>
      <c r="D64" s="560">
        <f>+G64+J64+M64+P64+Y64+V64+AB64+S64</f>
        <v>0</v>
      </c>
      <c r="E64" s="77">
        <f t="shared" ref="E64" si="134">+H64+K64+N64+Q64+Z64+W64+AC64+T64</f>
        <v>0</v>
      </c>
      <c r="F64" s="561">
        <f t="shared" ref="F64" si="135">+I64+L64+O64+R64+AA64+X64+AD64+U64</f>
        <v>0</v>
      </c>
      <c r="G64" s="562">
        <f t="shared" ref="G64" si="136">SUM(G61:G63)</f>
        <v>0</v>
      </c>
      <c r="H64" s="47">
        <f t="shared" ref="H64:Q64" si="137">SUM(H61:H63)</f>
        <v>0</v>
      </c>
      <c r="I64" s="703">
        <f t="shared" si="4"/>
        <v>0</v>
      </c>
      <c r="J64" s="703">
        <f t="shared" ref="J64" si="138">SUM(J61:J63)</f>
        <v>0</v>
      </c>
      <c r="K64" s="703">
        <f t="shared" si="137"/>
        <v>0</v>
      </c>
      <c r="L64" s="703">
        <f t="shared" si="5"/>
        <v>0</v>
      </c>
      <c r="M64" s="703">
        <f t="shared" ref="M64" si="139">SUM(M61:M63)</f>
        <v>0</v>
      </c>
      <c r="N64" s="703">
        <f t="shared" si="137"/>
        <v>0</v>
      </c>
      <c r="O64" s="703">
        <f t="shared" si="6"/>
        <v>0</v>
      </c>
      <c r="P64" s="703">
        <f t="shared" ref="P64" si="140">SUM(P61:P63)</f>
        <v>0</v>
      </c>
      <c r="Q64" s="703">
        <f t="shared" si="137"/>
        <v>0</v>
      </c>
      <c r="R64" s="703">
        <f t="shared" si="25"/>
        <v>0</v>
      </c>
      <c r="S64" s="703">
        <f t="shared" ref="S64:U64" si="141">SUM(S61:S63)</f>
        <v>0</v>
      </c>
      <c r="T64" s="703">
        <f t="shared" si="141"/>
        <v>0</v>
      </c>
      <c r="U64" s="703">
        <f t="shared" si="141"/>
        <v>0</v>
      </c>
      <c r="V64" s="703">
        <f t="shared" ref="V64" si="142">SUM(V61:V63)</f>
        <v>0</v>
      </c>
      <c r="W64" s="703">
        <f t="shared" ref="W64:X64" si="143">SUM(W61:W63)</f>
        <v>0</v>
      </c>
      <c r="X64" s="703">
        <f t="shared" si="143"/>
        <v>0</v>
      </c>
      <c r="Y64" s="703">
        <f t="shared" ref="Y64:Z64" si="144">SUM(Y61:Y63)</f>
        <v>0</v>
      </c>
      <c r="Z64" s="703">
        <f t="shared" si="144"/>
        <v>0</v>
      </c>
      <c r="AA64" s="1046">
        <f t="shared" si="9"/>
        <v>0</v>
      </c>
      <c r="AB64" s="703">
        <f t="shared" ref="AB64" si="145">SUM(AB61:AB63)</f>
        <v>0</v>
      </c>
      <c r="AC64" s="703">
        <f t="shared" ref="AC64" si="146">SUM(AC61:AC63)</f>
        <v>0</v>
      </c>
      <c r="AD64" s="1042">
        <f t="shared" si="133"/>
        <v>0</v>
      </c>
    </row>
    <row r="65" spans="1:30" x14ac:dyDescent="0.2">
      <c r="A65" s="504"/>
      <c r="B65" s="502"/>
      <c r="C65" s="711"/>
      <c r="D65" s="715"/>
      <c r="E65" s="701"/>
      <c r="F65" s="716"/>
      <c r="G65" s="857"/>
      <c r="H65" s="50"/>
      <c r="I65" s="804"/>
      <c r="J65" s="600"/>
      <c r="K65" s="600"/>
      <c r="L65" s="804"/>
      <c r="M65" s="600"/>
      <c r="N65" s="600"/>
      <c r="O65" s="804"/>
      <c r="P65" s="600"/>
      <c r="Q65" s="600"/>
      <c r="R65" s="804"/>
      <c r="S65" s="600"/>
      <c r="T65" s="600"/>
      <c r="U65" s="804"/>
      <c r="V65" s="600"/>
      <c r="W65" s="600"/>
      <c r="X65" s="804"/>
      <c r="Y65" s="600"/>
      <c r="Z65" s="600"/>
      <c r="AA65" s="804"/>
      <c r="AB65" s="1047"/>
      <c r="AC65" s="600"/>
      <c r="AD65" s="1043"/>
    </row>
    <row r="66" spans="1:30" s="37" customFormat="1" ht="12.75" customHeight="1" x14ac:dyDescent="0.2">
      <c r="A66" s="705" t="s">
        <v>135</v>
      </c>
      <c r="B66" s="1240" t="s">
        <v>157</v>
      </c>
      <c r="C66" s="1225"/>
      <c r="D66" s="560">
        <f>+G66+J66+M66+P66+Y66+V66+AB66+S66</f>
        <v>341656</v>
      </c>
      <c r="E66" s="77">
        <f t="shared" ref="E66" si="147">+H66+K66+N66+Q66+Z66+W66+AC66+T66</f>
        <v>30525</v>
      </c>
      <c r="F66" s="561">
        <f t="shared" ref="F66" si="148">+I66+L66+O66+R66+AA66+X66+AD66+U66</f>
        <v>372181</v>
      </c>
      <c r="G66" s="562">
        <f t="shared" ref="G66" si="149">+G64+G59+G53+G44+G35+G9+G7</f>
        <v>24011</v>
      </c>
      <c r="H66" s="47">
        <f t="shared" ref="H66:Q66" si="150">+H64+H59+H53+H44+H35+H9+H7</f>
        <v>0</v>
      </c>
      <c r="I66" s="703">
        <f t="shared" si="4"/>
        <v>24011</v>
      </c>
      <c r="J66" s="703">
        <f t="shared" ref="J66" si="151">+J64+J59+J53+J44+J35+J9+J7</f>
        <v>1270</v>
      </c>
      <c r="K66" s="703">
        <f t="shared" si="150"/>
        <v>0</v>
      </c>
      <c r="L66" s="703">
        <f t="shared" si="5"/>
        <v>1270</v>
      </c>
      <c r="M66" s="703">
        <f t="shared" ref="M66" si="152">+M64+M59+M53+M44+M35+M9+M7</f>
        <v>132464</v>
      </c>
      <c r="N66" s="703">
        <f t="shared" si="150"/>
        <v>165</v>
      </c>
      <c r="O66" s="703">
        <f t="shared" si="6"/>
        <v>132629</v>
      </c>
      <c r="P66" s="703">
        <f t="shared" ref="P66" si="153">+P64+P59+P53+P44+P35+P9+P7</f>
        <v>33487</v>
      </c>
      <c r="Q66" s="703">
        <f t="shared" si="150"/>
        <v>19127</v>
      </c>
      <c r="R66" s="703">
        <f t="shared" si="25"/>
        <v>52614</v>
      </c>
      <c r="S66" s="703">
        <f t="shared" ref="S66:U66" si="154">+S64+S59+S53+S44+S35+S9+S7</f>
        <v>9500</v>
      </c>
      <c r="T66" s="703">
        <f t="shared" si="154"/>
        <v>11100</v>
      </c>
      <c r="U66" s="703">
        <f t="shared" si="154"/>
        <v>20600</v>
      </c>
      <c r="V66" s="703">
        <f t="shared" ref="V66" si="155">+V64+V59+V53+V44+V35+V9+V7</f>
        <v>10364</v>
      </c>
      <c r="W66" s="703">
        <f t="shared" ref="W66:X66" si="156">+W64+W59+W53+W44+W35+W9+W7</f>
        <v>133</v>
      </c>
      <c r="X66" s="703">
        <f t="shared" si="156"/>
        <v>10497</v>
      </c>
      <c r="Y66" s="703">
        <f t="shared" ref="Y66:Z66" si="157">+Y64+Y59+Y53+Y44+Y35+Y9+Y7</f>
        <v>99384</v>
      </c>
      <c r="Z66" s="703">
        <f t="shared" si="157"/>
        <v>0</v>
      </c>
      <c r="AA66" s="1046">
        <f t="shared" si="9"/>
        <v>99384</v>
      </c>
      <c r="AB66" s="703">
        <f t="shared" ref="AB66" si="158">+AB64+AB59+AB53+AB44+AB35+AB9+AB7</f>
        <v>31176</v>
      </c>
      <c r="AC66" s="703">
        <f t="shared" ref="AC66" si="159">+AC64+AC59+AC53+AC44+AC35+AC9+AC7</f>
        <v>0</v>
      </c>
      <c r="AD66" s="1042">
        <f t="shared" ref="AD66" si="160">+AB66+AC66</f>
        <v>31176</v>
      </c>
    </row>
    <row r="67" spans="1:30" x14ac:dyDescent="0.2">
      <c r="A67" s="89"/>
      <c r="C67" s="712"/>
      <c r="D67" s="715"/>
      <c r="E67" s="701"/>
      <c r="F67" s="716"/>
      <c r="I67" s="804"/>
      <c r="L67" s="804"/>
      <c r="O67" s="804"/>
      <c r="R67" s="804"/>
      <c r="U67" s="804"/>
      <c r="X67" s="804"/>
      <c r="AA67" s="804"/>
      <c r="AB67" s="1052"/>
      <c r="AD67" s="1043"/>
    </row>
    <row r="68" spans="1:30" ht="12.75" customHeight="1" thickBot="1" x14ac:dyDescent="0.25">
      <c r="A68" s="706" t="s">
        <v>368</v>
      </c>
      <c r="B68" s="1254" t="s">
        <v>369</v>
      </c>
      <c r="C68" s="1255"/>
      <c r="D68" s="717">
        <f t="shared" si="28"/>
        <v>0</v>
      </c>
      <c r="E68" s="707">
        <f t="shared" si="29"/>
        <v>0</v>
      </c>
      <c r="F68" s="718">
        <f t="shared" si="30"/>
        <v>0</v>
      </c>
      <c r="G68" s="713"/>
      <c r="H68" s="708"/>
      <c r="I68" s="709">
        <f t="shared" si="4"/>
        <v>0</v>
      </c>
      <c r="J68" s="709"/>
      <c r="K68" s="709"/>
      <c r="L68" s="709">
        <f t="shared" si="5"/>
        <v>0</v>
      </c>
      <c r="M68" s="709"/>
      <c r="N68" s="709"/>
      <c r="O68" s="709">
        <f>+N68+M68</f>
        <v>0</v>
      </c>
      <c r="P68" s="709"/>
      <c r="Q68" s="709"/>
      <c r="R68" s="709">
        <f t="shared" si="25"/>
        <v>0</v>
      </c>
      <c r="S68" s="709"/>
      <c r="T68" s="709"/>
      <c r="U68" s="709">
        <f t="shared" ref="U68" si="161">+T68+S68</f>
        <v>0</v>
      </c>
      <c r="V68" s="709"/>
      <c r="W68" s="709"/>
      <c r="X68" s="709">
        <f t="shared" si="8"/>
        <v>0</v>
      </c>
      <c r="Y68" s="709"/>
      <c r="Z68" s="709"/>
      <c r="AA68" s="1053">
        <f t="shared" si="9"/>
        <v>0</v>
      </c>
      <c r="AB68" s="709"/>
      <c r="AC68" s="709"/>
      <c r="AD68" s="1044">
        <f t="shared" ref="AD68" si="162">+AB68+AC68</f>
        <v>0</v>
      </c>
    </row>
  </sheetData>
  <mergeCells count="76">
    <mergeCell ref="V2:X2"/>
    <mergeCell ref="V3:X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44:C44"/>
    <mergeCell ref="B19:C19"/>
    <mergeCell ref="B32:C32"/>
    <mergeCell ref="B21:C21"/>
    <mergeCell ref="B22:C22"/>
    <mergeCell ref="B23:C23"/>
    <mergeCell ref="B24:C24"/>
    <mergeCell ref="B27:C27"/>
    <mergeCell ref="B25:C25"/>
    <mergeCell ref="B26:C26"/>
    <mergeCell ref="B28:C28"/>
    <mergeCell ref="B29:C29"/>
    <mergeCell ref="B30:C30"/>
    <mergeCell ref="B31:C31"/>
    <mergeCell ref="S2:U2"/>
    <mergeCell ref="S3:U3"/>
    <mergeCell ref="A2:A4"/>
    <mergeCell ref="B2:C4"/>
    <mergeCell ref="D2:F2"/>
    <mergeCell ref="G2:I2"/>
    <mergeCell ref="D3:F3"/>
    <mergeCell ref="G3:I3"/>
    <mergeCell ref="B6:C6"/>
    <mergeCell ref="J2:L2"/>
    <mergeCell ref="M2:O2"/>
    <mergeCell ref="P2:R2"/>
    <mergeCell ref="J3:L3"/>
    <mergeCell ref="M3:O3"/>
    <mergeCell ref="P3:R3"/>
    <mergeCell ref="B5:C5"/>
    <mergeCell ref="AB2:AD2"/>
    <mergeCell ref="AB3:AD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Y2:AA2"/>
    <mergeCell ref="Y3:AA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2021.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zoomScaleNormal="100" workbookViewId="0">
      <pane xSplit="3" ySplit="4" topLeftCell="D5" activePane="bottomRight" state="frozen"/>
      <selection activeCell="B40" sqref="B40"/>
      <selection pane="topRight" activeCell="B40" sqref="B40"/>
      <selection pane="bottomLeft" activeCell="B40" sqref="B40"/>
      <selection pane="bottomRight" activeCell="F67" sqref="F67"/>
    </sheetView>
  </sheetViews>
  <sheetFormatPr defaultColWidth="9.140625" defaultRowHeight="15" x14ac:dyDescent="0.25"/>
  <cols>
    <col min="1" max="1" width="8.140625" style="699" customWidth="1"/>
    <col min="2" max="2" width="7.140625" style="21" customWidth="1"/>
    <col min="3" max="3" width="31" style="1054" customWidth="1"/>
    <col min="4" max="4" width="11.42578125" style="615" customWidth="1"/>
    <col min="5" max="5" width="8.42578125" style="615" customWidth="1"/>
    <col min="6" max="6" width="10.28515625" style="615" customWidth="1"/>
    <col min="7" max="7" width="8" style="615" customWidth="1"/>
    <col min="8" max="8" width="7.140625" style="615" customWidth="1"/>
    <col min="9" max="9" width="8.140625" style="615" customWidth="1"/>
    <col min="10" max="10" width="7.85546875" style="615" customWidth="1"/>
    <col min="11" max="11" width="7.7109375" style="615" customWidth="1"/>
    <col min="12" max="27" width="7.85546875" style="615" customWidth="1"/>
    <col min="28" max="28" width="7.140625" style="615" customWidth="1"/>
    <col min="29" max="29" width="8" style="615" customWidth="1"/>
    <col min="30" max="30" width="7.5703125" style="615" customWidth="1"/>
    <col min="31" max="31" width="8" style="615" customWidth="1"/>
    <col min="32" max="32" width="7.85546875" style="615" customWidth="1"/>
    <col min="33" max="33" width="7.28515625" style="615" customWidth="1"/>
    <col min="34" max="36" width="8.85546875" style="739" customWidth="1"/>
    <col min="37" max="16384" width="9.140625" style="17"/>
  </cols>
  <sheetData>
    <row r="1" spans="1:36" s="1" customFormat="1" ht="12.75" customHeight="1" thickBot="1" x14ac:dyDescent="0.3">
      <c r="A1" s="699"/>
      <c r="B1" s="21"/>
      <c r="C1" s="1054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964"/>
      <c r="AF1" s="964"/>
      <c r="AG1" s="964"/>
      <c r="AH1" s="964" t="s">
        <v>383</v>
      </c>
      <c r="AI1" s="739"/>
      <c r="AJ1" s="739"/>
    </row>
    <row r="2" spans="1:36" s="27" customFormat="1" ht="28.5" customHeight="1" x14ac:dyDescent="0.25">
      <c r="A2" s="1260" t="s">
        <v>0</v>
      </c>
      <c r="B2" s="1262" t="s">
        <v>182</v>
      </c>
      <c r="C2" s="1263"/>
      <c r="D2" s="1283" t="s">
        <v>180</v>
      </c>
      <c r="E2" s="1251"/>
      <c r="F2" s="1259"/>
      <c r="G2" s="1252" t="s">
        <v>655</v>
      </c>
      <c r="H2" s="1252"/>
      <c r="I2" s="1252"/>
      <c r="J2" s="1252" t="s">
        <v>656</v>
      </c>
      <c r="K2" s="1252"/>
      <c r="L2" s="1252"/>
      <c r="M2" s="1258" t="s">
        <v>732</v>
      </c>
      <c r="N2" s="1278"/>
      <c r="O2" s="1279"/>
      <c r="P2" s="1252" t="s">
        <v>802</v>
      </c>
      <c r="Q2" s="1252"/>
      <c r="R2" s="1252"/>
      <c r="S2" s="1252" t="s">
        <v>856</v>
      </c>
      <c r="T2" s="1252"/>
      <c r="U2" s="1252"/>
      <c r="V2" s="1252" t="s">
        <v>745</v>
      </c>
      <c r="W2" s="1252"/>
      <c r="X2" s="1252"/>
      <c r="Y2" s="1252" t="s">
        <v>1080</v>
      </c>
      <c r="Z2" s="1252"/>
      <c r="AA2" s="1252"/>
      <c r="AB2" s="1252" t="s">
        <v>746</v>
      </c>
      <c r="AC2" s="1252"/>
      <c r="AD2" s="1252"/>
      <c r="AE2" s="1252" t="s">
        <v>741</v>
      </c>
      <c r="AF2" s="1252"/>
      <c r="AG2" s="1258"/>
      <c r="AH2" s="1258" t="s">
        <v>857</v>
      </c>
      <c r="AI2" s="1278"/>
      <c r="AJ2" s="1279"/>
    </row>
    <row r="3" spans="1:36" s="27" customFormat="1" ht="12.75" x14ac:dyDescent="0.25">
      <c r="A3" s="1261"/>
      <c r="B3" s="1246"/>
      <c r="C3" s="1264"/>
      <c r="D3" s="1279"/>
      <c r="E3" s="1252"/>
      <c r="F3" s="1253"/>
      <c r="G3" s="1279" t="s">
        <v>291</v>
      </c>
      <c r="H3" s="1252"/>
      <c r="I3" s="1252"/>
      <c r="J3" s="1252" t="s">
        <v>291</v>
      </c>
      <c r="K3" s="1252"/>
      <c r="L3" s="1252"/>
      <c r="M3" s="1252" t="s">
        <v>291</v>
      </c>
      <c r="N3" s="1252"/>
      <c r="O3" s="1252"/>
      <c r="P3" s="1252" t="s">
        <v>291</v>
      </c>
      <c r="Q3" s="1252"/>
      <c r="R3" s="1252"/>
      <c r="S3" s="1252" t="s">
        <v>291</v>
      </c>
      <c r="T3" s="1252"/>
      <c r="U3" s="1252"/>
      <c r="V3" s="1258" t="s">
        <v>291</v>
      </c>
      <c r="W3" s="1278"/>
      <c r="X3" s="1279"/>
      <c r="Y3" s="1252" t="s">
        <v>727</v>
      </c>
      <c r="Z3" s="1252"/>
      <c r="AA3" s="1252"/>
      <c r="AB3" s="1252" t="s">
        <v>291</v>
      </c>
      <c r="AC3" s="1252"/>
      <c r="AD3" s="1252"/>
      <c r="AE3" s="1252" t="s">
        <v>291</v>
      </c>
      <c r="AF3" s="1252"/>
      <c r="AG3" s="1258"/>
      <c r="AH3" s="1252" t="s">
        <v>291</v>
      </c>
      <c r="AI3" s="1252"/>
      <c r="AJ3" s="1253"/>
    </row>
    <row r="4" spans="1:36" s="16" customFormat="1" ht="25.5" x14ac:dyDescent="0.25">
      <c r="A4" s="1261"/>
      <c r="B4" s="1246"/>
      <c r="C4" s="1264"/>
      <c r="D4" s="1055" t="s">
        <v>944</v>
      </c>
      <c r="E4" s="984" t="s">
        <v>684</v>
      </c>
      <c r="F4" s="1041" t="s">
        <v>940</v>
      </c>
      <c r="G4" s="1055" t="s">
        <v>944</v>
      </c>
      <c r="H4" s="984" t="s">
        <v>684</v>
      </c>
      <c r="I4" s="984" t="s">
        <v>940</v>
      </c>
      <c r="J4" s="984" t="s">
        <v>944</v>
      </c>
      <c r="K4" s="984" t="s">
        <v>684</v>
      </c>
      <c r="L4" s="984" t="s">
        <v>940</v>
      </c>
      <c r="M4" s="984" t="s">
        <v>944</v>
      </c>
      <c r="N4" s="984" t="s">
        <v>684</v>
      </c>
      <c r="O4" s="984" t="s">
        <v>940</v>
      </c>
      <c r="P4" s="984" t="s">
        <v>944</v>
      </c>
      <c r="Q4" s="984" t="s">
        <v>684</v>
      </c>
      <c r="R4" s="984" t="s">
        <v>940</v>
      </c>
      <c r="S4" s="1055" t="s">
        <v>944</v>
      </c>
      <c r="T4" s="984" t="s">
        <v>684</v>
      </c>
      <c r="U4" s="984" t="s">
        <v>940</v>
      </c>
      <c r="V4" s="1055" t="s">
        <v>944</v>
      </c>
      <c r="W4" s="984" t="s">
        <v>684</v>
      </c>
      <c r="X4" s="984" t="s">
        <v>940</v>
      </c>
      <c r="Y4" s="1055" t="s">
        <v>944</v>
      </c>
      <c r="Z4" s="984" t="s">
        <v>684</v>
      </c>
      <c r="AA4" s="984" t="s">
        <v>940</v>
      </c>
      <c r="AB4" s="1055" t="s">
        <v>944</v>
      </c>
      <c r="AC4" s="984" t="s">
        <v>684</v>
      </c>
      <c r="AD4" s="984" t="s">
        <v>940</v>
      </c>
      <c r="AE4" s="1055" t="s">
        <v>944</v>
      </c>
      <c r="AF4" s="984" t="s">
        <v>684</v>
      </c>
      <c r="AG4" s="984" t="s">
        <v>940</v>
      </c>
      <c r="AH4" s="1055" t="s">
        <v>944</v>
      </c>
      <c r="AI4" s="984" t="s">
        <v>684</v>
      </c>
      <c r="AJ4" s="984" t="s">
        <v>940</v>
      </c>
    </row>
    <row r="5" spans="1:36" s="37" customFormat="1" ht="12.75" customHeight="1" x14ac:dyDescent="0.2">
      <c r="A5" s="503" t="s">
        <v>27</v>
      </c>
      <c r="B5" s="1240" t="s">
        <v>174</v>
      </c>
      <c r="C5" s="1225"/>
      <c r="D5" s="1056">
        <f>+G5+J5+AB5+AE5+M5+V5+Y5+P5+S5+AH5</f>
        <v>0</v>
      </c>
      <c r="E5" s="1057">
        <f t="shared" ref="E5:F5" si="0">+H5+K5+AC5+AF5+N5+W5+Z5+Q5+T5+AI5</f>
        <v>0</v>
      </c>
      <c r="F5" s="1058">
        <f t="shared" si="0"/>
        <v>0</v>
      </c>
      <c r="G5" s="746"/>
      <c r="H5" s="703"/>
      <c r="I5" s="703">
        <f>+H5+G5</f>
        <v>0</v>
      </c>
      <c r="J5" s="446"/>
      <c r="K5" s="703"/>
      <c r="L5" s="703">
        <f>+K5+J5</f>
        <v>0</v>
      </c>
      <c r="M5" s="446"/>
      <c r="N5" s="703"/>
      <c r="O5" s="703">
        <f>+N5+M5</f>
        <v>0</v>
      </c>
      <c r="P5" s="446"/>
      <c r="Q5" s="703"/>
      <c r="R5" s="703">
        <f>+Q5+P5</f>
        <v>0</v>
      </c>
      <c r="S5" s="446"/>
      <c r="T5" s="703"/>
      <c r="U5" s="703">
        <f>+T5+S5</f>
        <v>0</v>
      </c>
      <c r="V5" s="446"/>
      <c r="W5" s="703"/>
      <c r="X5" s="703">
        <f>+W5+V5</f>
        <v>0</v>
      </c>
      <c r="Y5" s="703"/>
      <c r="Z5" s="703"/>
      <c r="AA5" s="703">
        <f>+Z5+Y5</f>
        <v>0</v>
      </c>
      <c r="AB5" s="446"/>
      <c r="AC5" s="703"/>
      <c r="AD5" s="703">
        <f>+AB5+AC5</f>
        <v>0</v>
      </c>
      <c r="AE5" s="446"/>
      <c r="AF5" s="703"/>
      <c r="AG5" s="1046">
        <f>+AF5+AE5</f>
        <v>0</v>
      </c>
      <c r="AH5" s="703">
        <v>0</v>
      </c>
      <c r="AI5" s="703"/>
      <c r="AJ5" s="1042">
        <f>+AI5+AH5</f>
        <v>0</v>
      </c>
    </row>
    <row r="6" spans="1:36" s="37" customFormat="1" ht="12.75" customHeight="1" x14ac:dyDescent="0.2">
      <c r="A6" s="503" t="s">
        <v>33</v>
      </c>
      <c r="B6" s="1240" t="s">
        <v>173</v>
      </c>
      <c r="C6" s="1225"/>
      <c r="D6" s="1056">
        <f t="shared" ref="D6:D7" si="1">+G6+J6+AB6+AE6+M6+V6+Y6+P6+S6+AH6</f>
        <v>979</v>
      </c>
      <c r="E6" s="1057">
        <f t="shared" ref="E6:E7" si="2">+H6+K6+AC6+AF6+N6+W6+Z6+Q6+T6+AI6</f>
        <v>0</v>
      </c>
      <c r="F6" s="1058">
        <f t="shared" ref="F6:F7" si="3">+I6+L6+AD6+AG6+O6+X6+AA6+R6+U6+AJ6</f>
        <v>979</v>
      </c>
      <c r="G6" s="746"/>
      <c r="H6" s="703"/>
      <c r="I6" s="703">
        <f t="shared" ref="I6:I65" si="4">+H6+G6</f>
        <v>0</v>
      </c>
      <c r="J6" s="446"/>
      <c r="K6" s="703"/>
      <c r="L6" s="703">
        <f t="shared" ref="L6:L65" si="5">+K6+J6</f>
        <v>0</v>
      </c>
      <c r="M6" s="446">
        <v>979</v>
      </c>
      <c r="N6" s="703"/>
      <c r="O6" s="703">
        <f t="shared" ref="O6:O65" si="6">+N6+M6</f>
        <v>979</v>
      </c>
      <c r="P6" s="446"/>
      <c r="Q6" s="703"/>
      <c r="R6" s="703">
        <f t="shared" ref="R6:R65" si="7">+Q6+P6</f>
        <v>0</v>
      </c>
      <c r="S6" s="446"/>
      <c r="T6" s="703"/>
      <c r="U6" s="703">
        <f t="shared" ref="U6:U65" si="8">+T6+S6</f>
        <v>0</v>
      </c>
      <c r="V6" s="446"/>
      <c r="W6" s="703"/>
      <c r="X6" s="703">
        <f t="shared" ref="X6:X65" si="9">+W6+V6</f>
        <v>0</v>
      </c>
      <c r="Y6" s="703"/>
      <c r="Z6" s="703"/>
      <c r="AA6" s="703">
        <f t="shared" ref="AA6:AA65" si="10">+Z6+Y6</f>
        <v>0</v>
      </c>
      <c r="AB6" s="446"/>
      <c r="AC6" s="703"/>
      <c r="AD6" s="703">
        <f t="shared" ref="AD6:AD65" si="11">+AB6+AC6</f>
        <v>0</v>
      </c>
      <c r="AE6" s="446"/>
      <c r="AF6" s="703"/>
      <c r="AG6" s="1046">
        <f t="shared" ref="AG6:AG65" si="12">+AF6+AE6</f>
        <v>0</v>
      </c>
      <c r="AH6" s="703"/>
      <c r="AI6" s="703"/>
      <c r="AJ6" s="1042">
        <f t="shared" ref="AJ6:AJ7" si="13">+AI6+AH6</f>
        <v>0</v>
      </c>
    </row>
    <row r="7" spans="1:36" s="37" customFormat="1" ht="12.75" customHeight="1" x14ac:dyDescent="0.2">
      <c r="A7" s="503" t="s">
        <v>34</v>
      </c>
      <c r="B7" s="1240" t="s">
        <v>172</v>
      </c>
      <c r="C7" s="1225"/>
      <c r="D7" s="1056">
        <f t="shared" si="1"/>
        <v>979</v>
      </c>
      <c r="E7" s="1057">
        <f t="shared" si="2"/>
        <v>0</v>
      </c>
      <c r="F7" s="1058">
        <f t="shared" si="3"/>
        <v>979</v>
      </c>
      <c r="G7" s="703">
        <f>+G5+G6</f>
        <v>0</v>
      </c>
      <c r="H7" s="703">
        <f t="shared" ref="H7" si="14">+H6+H5</f>
        <v>0</v>
      </c>
      <c r="I7" s="703">
        <f t="shared" si="4"/>
        <v>0</v>
      </c>
      <c r="J7" s="703">
        <f t="shared" ref="J7" si="15">+J5+J6</f>
        <v>0</v>
      </c>
      <c r="K7" s="703">
        <f t="shared" ref="K7" si="16">+K6+K5</f>
        <v>0</v>
      </c>
      <c r="L7" s="703">
        <f t="shared" si="5"/>
        <v>0</v>
      </c>
      <c r="M7" s="969">
        <f t="shared" ref="M7" si="17">+M5+M6</f>
        <v>979</v>
      </c>
      <c r="N7" s="703">
        <f t="shared" ref="N7" si="18">+N6+N5</f>
        <v>0</v>
      </c>
      <c r="O7" s="703">
        <f t="shared" si="6"/>
        <v>979</v>
      </c>
      <c r="P7" s="703">
        <f t="shared" ref="P7" si="19">+P5+P6</f>
        <v>0</v>
      </c>
      <c r="Q7" s="703">
        <f t="shared" ref="Q7" si="20">+Q6+Q5</f>
        <v>0</v>
      </c>
      <c r="R7" s="703">
        <f t="shared" si="7"/>
        <v>0</v>
      </c>
      <c r="S7" s="703">
        <f t="shared" ref="S7" si="21">+S5+S6</f>
        <v>0</v>
      </c>
      <c r="T7" s="703">
        <f t="shared" ref="T7" si="22">+T6+T5</f>
        <v>0</v>
      </c>
      <c r="U7" s="703">
        <f t="shared" si="8"/>
        <v>0</v>
      </c>
      <c r="V7" s="703">
        <f t="shared" ref="V7" si="23">+V5+V6</f>
        <v>0</v>
      </c>
      <c r="W7" s="703">
        <f t="shared" ref="W7:Z7" si="24">+W6+W5</f>
        <v>0</v>
      </c>
      <c r="X7" s="703">
        <f t="shared" si="24"/>
        <v>0</v>
      </c>
      <c r="Y7" s="703">
        <f>+Y6+Y5</f>
        <v>0</v>
      </c>
      <c r="Z7" s="703">
        <f t="shared" si="24"/>
        <v>0</v>
      </c>
      <c r="AA7" s="703">
        <f t="shared" si="10"/>
        <v>0</v>
      </c>
      <c r="AB7" s="703">
        <f t="shared" ref="AB7" si="25">+AB5+AB6</f>
        <v>0</v>
      </c>
      <c r="AC7" s="703">
        <f t="shared" ref="AC7" si="26">+AC6+AC5</f>
        <v>0</v>
      </c>
      <c r="AD7" s="703">
        <f t="shared" si="11"/>
        <v>0</v>
      </c>
      <c r="AE7" s="703">
        <f t="shared" ref="AE7" si="27">+AE5+AE6</f>
        <v>0</v>
      </c>
      <c r="AF7" s="703">
        <f t="shared" ref="AF7" si="28">+AF6+AF5</f>
        <v>0</v>
      </c>
      <c r="AG7" s="1046">
        <f t="shared" si="12"/>
        <v>0</v>
      </c>
      <c r="AH7" s="969">
        <f t="shared" ref="AH7" si="29">+AH5+AH6</f>
        <v>0</v>
      </c>
      <c r="AI7" s="703">
        <f t="shared" ref="AI7" si="30">+AI6+AI5</f>
        <v>0</v>
      </c>
      <c r="AJ7" s="1042">
        <f t="shared" si="13"/>
        <v>0</v>
      </c>
    </row>
    <row r="8" spans="1:36" ht="12" customHeight="1" x14ac:dyDescent="0.2">
      <c r="A8" s="504"/>
      <c r="B8" s="695"/>
      <c r="C8" s="985"/>
      <c r="D8" s="1059"/>
      <c r="E8" s="1059"/>
      <c r="F8" s="1060"/>
      <c r="G8" s="600"/>
      <c r="H8" s="600"/>
      <c r="I8" s="804"/>
      <c r="J8" s="600"/>
      <c r="K8" s="600"/>
      <c r="L8" s="804"/>
      <c r="M8" s="1061"/>
      <c r="N8" s="600"/>
      <c r="O8" s="804"/>
      <c r="P8" s="600"/>
      <c r="Q8" s="600"/>
      <c r="R8" s="804"/>
      <c r="S8" s="600"/>
      <c r="T8" s="600"/>
      <c r="U8" s="804"/>
      <c r="V8" s="600"/>
      <c r="W8" s="600"/>
      <c r="X8" s="804"/>
      <c r="Y8" s="600"/>
      <c r="Z8" s="600"/>
      <c r="AA8" s="804"/>
      <c r="AB8" s="600"/>
      <c r="AC8" s="600"/>
      <c r="AD8" s="804"/>
      <c r="AE8" s="600"/>
      <c r="AF8" s="600"/>
      <c r="AG8" s="804"/>
      <c r="AH8" s="600"/>
      <c r="AI8" s="600"/>
      <c r="AJ8" s="1043"/>
    </row>
    <row r="9" spans="1:36" s="37" customFormat="1" ht="12.75" customHeight="1" x14ac:dyDescent="0.2">
      <c r="A9" s="503" t="s">
        <v>35</v>
      </c>
      <c r="B9" s="1240" t="s">
        <v>171</v>
      </c>
      <c r="C9" s="1225"/>
      <c r="D9" s="1056">
        <f>+G9+J9+AB9+AE9+M9+V9+Y9+P9+S9+AH9</f>
        <v>228</v>
      </c>
      <c r="E9" s="1057">
        <f t="shared" ref="E9" si="31">+H9+K9+AC9+AF9+N9+W9+Z9+Q9+T9+AI9</f>
        <v>0</v>
      </c>
      <c r="F9" s="1058">
        <f t="shared" ref="F9" si="32">+I9+L9+AD9+AG9+O9+X9+AA9+R9+U9+AJ9</f>
        <v>228</v>
      </c>
      <c r="G9" s="746"/>
      <c r="H9" s="703"/>
      <c r="I9" s="703">
        <f t="shared" si="4"/>
        <v>0</v>
      </c>
      <c r="J9" s="446"/>
      <c r="K9" s="703"/>
      <c r="L9" s="703">
        <f t="shared" si="5"/>
        <v>0</v>
      </c>
      <c r="M9" s="1062">
        <v>228</v>
      </c>
      <c r="N9" s="703"/>
      <c r="O9" s="703">
        <f t="shared" si="6"/>
        <v>228</v>
      </c>
      <c r="P9" s="446"/>
      <c r="Q9" s="703"/>
      <c r="R9" s="703">
        <f t="shared" si="7"/>
        <v>0</v>
      </c>
      <c r="S9" s="446"/>
      <c r="T9" s="703"/>
      <c r="U9" s="703">
        <f t="shared" si="8"/>
        <v>0</v>
      </c>
      <c r="V9" s="446"/>
      <c r="W9" s="703"/>
      <c r="X9" s="703">
        <f t="shared" si="9"/>
        <v>0</v>
      </c>
      <c r="Y9" s="703"/>
      <c r="Z9" s="703"/>
      <c r="AA9" s="703">
        <f t="shared" si="10"/>
        <v>0</v>
      </c>
      <c r="AB9" s="446"/>
      <c r="AC9" s="703"/>
      <c r="AD9" s="703">
        <f t="shared" si="11"/>
        <v>0</v>
      </c>
      <c r="AE9" s="446"/>
      <c r="AF9" s="703"/>
      <c r="AG9" s="1046">
        <f t="shared" si="12"/>
        <v>0</v>
      </c>
      <c r="AH9" s="703">
        <v>0</v>
      </c>
      <c r="AI9" s="703"/>
      <c r="AJ9" s="1042">
        <f t="shared" ref="AJ9" si="33">+AI9+AH9</f>
        <v>0</v>
      </c>
    </row>
    <row r="10" spans="1:36" ht="11.25" customHeight="1" x14ac:dyDescent="0.2">
      <c r="A10" s="88"/>
      <c r="C10" s="304"/>
      <c r="D10" s="1059"/>
      <c r="E10" s="1059"/>
      <c r="F10" s="1060"/>
      <c r="G10" s="600"/>
      <c r="H10" s="600"/>
      <c r="I10" s="804"/>
      <c r="J10" s="600"/>
      <c r="K10" s="600"/>
      <c r="L10" s="804"/>
      <c r="M10" s="1061"/>
      <c r="N10" s="600"/>
      <c r="O10" s="804"/>
      <c r="P10" s="600"/>
      <c r="Q10" s="600"/>
      <c r="R10" s="804"/>
      <c r="S10" s="600"/>
      <c r="T10" s="600"/>
      <c r="U10" s="804"/>
      <c r="V10" s="600"/>
      <c r="W10" s="600"/>
      <c r="X10" s="804"/>
      <c r="Y10" s="600"/>
      <c r="Z10" s="600"/>
      <c r="AA10" s="804"/>
      <c r="AB10" s="600"/>
      <c r="AC10" s="600"/>
      <c r="AD10" s="804"/>
      <c r="AE10" s="600"/>
      <c r="AF10" s="600"/>
      <c r="AG10" s="804"/>
      <c r="AH10" s="600"/>
      <c r="AI10" s="600"/>
      <c r="AJ10" s="1043"/>
    </row>
    <row r="11" spans="1:36" ht="12.75" customHeight="1" x14ac:dyDescent="0.2">
      <c r="A11" s="505" t="s">
        <v>42</v>
      </c>
      <c r="B11" s="1236" t="s">
        <v>41</v>
      </c>
      <c r="C11" s="1235"/>
      <c r="D11" s="1056">
        <f t="shared" ref="D11:D35" si="34">+G11+J11+AB11+AE11+M11+V11+Y11+P11+S11+AH11</f>
        <v>0</v>
      </c>
      <c r="E11" s="1057">
        <f t="shared" ref="E11:E35" si="35">+H11+K11+AC11+AF11+N11+W11+Z11+Q11+T11+AI11</f>
        <v>0</v>
      </c>
      <c r="F11" s="1058">
        <f t="shared" ref="F11:F35" si="36">+I11+L11+AD11+AG11+O11+X11+AA11+R11+U11+AJ11</f>
        <v>0</v>
      </c>
      <c r="G11" s="746"/>
      <c r="H11" s="446"/>
      <c r="I11" s="703">
        <f t="shared" si="4"/>
        <v>0</v>
      </c>
      <c r="J11" s="446"/>
      <c r="K11" s="446"/>
      <c r="L11" s="703">
        <f t="shared" si="5"/>
        <v>0</v>
      </c>
      <c r="M11" s="1062"/>
      <c r="N11" s="446"/>
      <c r="O11" s="703">
        <f t="shared" si="6"/>
        <v>0</v>
      </c>
      <c r="P11" s="446"/>
      <c r="Q11" s="446"/>
      <c r="R11" s="703">
        <f t="shared" si="7"/>
        <v>0</v>
      </c>
      <c r="S11" s="446"/>
      <c r="T11" s="446"/>
      <c r="U11" s="703">
        <f t="shared" si="8"/>
        <v>0</v>
      </c>
      <c r="V11" s="446"/>
      <c r="W11" s="446"/>
      <c r="X11" s="703">
        <f t="shared" si="9"/>
        <v>0</v>
      </c>
      <c r="Y11" s="446"/>
      <c r="Z11" s="446"/>
      <c r="AA11" s="703">
        <f t="shared" si="10"/>
        <v>0</v>
      </c>
      <c r="AB11" s="446"/>
      <c r="AC11" s="446"/>
      <c r="AD11" s="703">
        <f t="shared" si="11"/>
        <v>0</v>
      </c>
      <c r="AE11" s="446"/>
      <c r="AF11" s="446"/>
      <c r="AG11" s="1046">
        <f t="shared" si="12"/>
        <v>0</v>
      </c>
      <c r="AH11" s="446"/>
      <c r="AI11" s="446"/>
      <c r="AJ11" s="1042">
        <f t="shared" ref="AJ11:AJ35" si="37">+AI11+AH11</f>
        <v>0</v>
      </c>
    </row>
    <row r="12" spans="1:36" ht="12.75" customHeight="1" x14ac:dyDescent="0.2">
      <c r="A12" s="505" t="s">
        <v>44</v>
      </c>
      <c r="B12" s="1236" t="s">
        <v>43</v>
      </c>
      <c r="C12" s="1235"/>
      <c r="D12" s="1056">
        <f t="shared" si="34"/>
        <v>0</v>
      </c>
      <c r="E12" s="1057">
        <f t="shared" si="35"/>
        <v>0</v>
      </c>
      <c r="F12" s="1058">
        <f t="shared" si="36"/>
        <v>0</v>
      </c>
      <c r="G12" s="746"/>
      <c r="H12" s="446"/>
      <c r="I12" s="703">
        <f t="shared" si="4"/>
        <v>0</v>
      </c>
      <c r="J12" s="446"/>
      <c r="K12" s="446"/>
      <c r="L12" s="703">
        <f t="shared" si="5"/>
        <v>0</v>
      </c>
      <c r="M12" s="446"/>
      <c r="N12" s="446"/>
      <c r="O12" s="703">
        <f t="shared" si="6"/>
        <v>0</v>
      </c>
      <c r="P12" s="446"/>
      <c r="Q12" s="446"/>
      <c r="R12" s="703">
        <f t="shared" si="7"/>
        <v>0</v>
      </c>
      <c r="S12" s="446"/>
      <c r="T12" s="446"/>
      <c r="U12" s="703">
        <f t="shared" si="8"/>
        <v>0</v>
      </c>
      <c r="V12" s="446"/>
      <c r="W12" s="446"/>
      <c r="X12" s="703">
        <f t="shared" si="9"/>
        <v>0</v>
      </c>
      <c r="Y12" s="446"/>
      <c r="Z12" s="446"/>
      <c r="AA12" s="703">
        <f t="shared" si="10"/>
        <v>0</v>
      </c>
      <c r="AB12" s="446"/>
      <c r="AC12" s="446"/>
      <c r="AD12" s="703">
        <f t="shared" si="11"/>
        <v>0</v>
      </c>
      <c r="AE12" s="446"/>
      <c r="AF12" s="446"/>
      <c r="AG12" s="1046">
        <f t="shared" si="12"/>
        <v>0</v>
      </c>
      <c r="AH12" s="446"/>
      <c r="AI12" s="446"/>
      <c r="AJ12" s="1042">
        <f t="shared" si="37"/>
        <v>0</v>
      </c>
    </row>
    <row r="13" spans="1:36" ht="12.75" customHeight="1" x14ac:dyDescent="0.2">
      <c r="A13" s="505" t="s">
        <v>46</v>
      </c>
      <c r="B13" s="1236" t="s">
        <v>45</v>
      </c>
      <c r="C13" s="1235"/>
      <c r="D13" s="1056">
        <f t="shared" si="34"/>
        <v>0</v>
      </c>
      <c r="E13" s="1057">
        <f t="shared" si="35"/>
        <v>0</v>
      </c>
      <c r="F13" s="1058">
        <f t="shared" si="36"/>
        <v>0</v>
      </c>
      <c r="G13" s="746"/>
      <c r="H13" s="446"/>
      <c r="I13" s="703">
        <f t="shared" si="4"/>
        <v>0</v>
      </c>
      <c r="J13" s="446"/>
      <c r="K13" s="446"/>
      <c r="L13" s="703">
        <f t="shared" si="5"/>
        <v>0</v>
      </c>
      <c r="M13" s="446"/>
      <c r="N13" s="446"/>
      <c r="O13" s="703">
        <f t="shared" si="6"/>
        <v>0</v>
      </c>
      <c r="P13" s="446"/>
      <c r="Q13" s="446"/>
      <c r="R13" s="703">
        <f t="shared" si="7"/>
        <v>0</v>
      </c>
      <c r="S13" s="446"/>
      <c r="T13" s="446"/>
      <c r="U13" s="703">
        <f t="shared" si="8"/>
        <v>0</v>
      </c>
      <c r="V13" s="446"/>
      <c r="W13" s="446"/>
      <c r="X13" s="703">
        <f t="shared" si="9"/>
        <v>0</v>
      </c>
      <c r="Y13" s="446"/>
      <c r="Z13" s="446"/>
      <c r="AA13" s="703">
        <f t="shared" si="10"/>
        <v>0</v>
      </c>
      <c r="AB13" s="446"/>
      <c r="AC13" s="446"/>
      <c r="AD13" s="703">
        <f t="shared" si="11"/>
        <v>0</v>
      </c>
      <c r="AE13" s="446"/>
      <c r="AF13" s="446"/>
      <c r="AG13" s="1046">
        <f t="shared" si="12"/>
        <v>0</v>
      </c>
      <c r="AH13" s="446"/>
      <c r="AI13" s="446"/>
      <c r="AJ13" s="1042">
        <f t="shared" si="37"/>
        <v>0</v>
      </c>
    </row>
    <row r="14" spans="1:36" s="37" customFormat="1" ht="12.75" customHeight="1" x14ac:dyDescent="0.2">
      <c r="A14" s="503" t="s">
        <v>47</v>
      </c>
      <c r="B14" s="1240" t="s">
        <v>170</v>
      </c>
      <c r="C14" s="1225"/>
      <c r="D14" s="1056">
        <f t="shared" si="34"/>
        <v>0</v>
      </c>
      <c r="E14" s="1057">
        <f t="shared" si="35"/>
        <v>0</v>
      </c>
      <c r="F14" s="1058">
        <f t="shared" si="36"/>
        <v>0</v>
      </c>
      <c r="G14" s="965">
        <f>SUM(G11:G13)</f>
        <v>0</v>
      </c>
      <c r="H14" s="703">
        <f t="shared" ref="H14:AC14" si="38">SUM(H11:H13)</f>
        <v>0</v>
      </c>
      <c r="I14" s="703">
        <f t="shared" si="4"/>
        <v>0</v>
      </c>
      <c r="J14" s="703">
        <f t="shared" ref="J14" si="39">SUM(J11:J13)</f>
        <v>0</v>
      </c>
      <c r="K14" s="703">
        <f t="shared" si="38"/>
        <v>0</v>
      </c>
      <c r="L14" s="703">
        <f t="shared" si="5"/>
        <v>0</v>
      </c>
      <c r="M14" s="703">
        <f t="shared" ref="M14" si="40">SUM(M11:M13)</f>
        <v>0</v>
      </c>
      <c r="N14" s="703">
        <f t="shared" si="38"/>
        <v>0</v>
      </c>
      <c r="O14" s="703">
        <f t="shared" si="6"/>
        <v>0</v>
      </c>
      <c r="P14" s="703">
        <f t="shared" ref="P14" si="41">SUM(P11:P13)</f>
        <v>0</v>
      </c>
      <c r="Q14" s="703">
        <f t="shared" si="38"/>
        <v>0</v>
      </c>
      <c r="R14" s="703">
        <f t="shared" si="7"/>
        <v>0</v>
      </c>
      <c r="S14" s="703">
        <f t="shared" ref="S14" si="42">SUM(S11:S13)</f>
        <v>0</v>
      </c>
      <c r="T14" s="703">
        <f t="shared" si="38"/>
        <v>0</v>
      </c>
      <c r="U14" s="703">
        <f t="shared" si="8"/>
        <v>0</v>
      </c>
      <c r="V14" s="703">
        <f t="shared" ref="V14" si="43">SUM(V11:V13)</f>
        <v>0</v>
      </c>
      <c r="W14" s="703">
        <f t="shared" si="38"/>
        <v>0</v>
      </c>
      <c r="X14" s="703">
        <f t="shared" si="9"/>
        <v>0</v>
      </c>
      <c r="Y14" s="703">
        <f t="shared" si="38"/>
        <v>0</v>
      </c>
      <c r="Z14" s="703">
        <f t="shared" si="38"/>
        <v>0</v>
      </c>
      <c r="AA14" s="703">
        <f t="shared" si="10"/>
        <v>0</v>
      </c>
      <c r="AB14" s="703">
        <f t="shared" ref="AB14" si="44">SUM(AB11:AB13)</f>
        <v>0</v>
      </c>
      <c r="AC14" s="703">
        <f t="shared" si="38"/>
        <v>0</v>
      </c>
      <c r="AD14" s="703">
        <f t="shared" si="11"/>
        <v>0</v>
      </c>
      <c r="AE14" s="703">
        <f t="shared" ref="AE14" si="45">SUM(AE11:AE13)</f>
        <v>0</v>
      </c>
      <c r="AF14" s="703">
        <f>SUM(AF11:AF13)</f>
        <v>0</v>
      </c>
      <c r="AG14" s="1046">
        <f t="shared" si="12"/>
        <v>0</v>
      </c>
      <c r="AH14" s="703">
        <f t="shared" ref="AH14" si="46">SUM(AH11:AH13)</f>
        <v>0</v>
      </c>
      <c r="AI14" s="703">
        <f>SUM(AI11:AI13)</f>
        <v>0</v>
      </c>
      <c r="AJ14" s="1042">
        <f t="shared" si="37"/>
        <v>0</v>
      </c>
    </row>
    <row r="15" spans="1:36" ht="12.75" customHeight="1" x14ac:dyDescent="0.2">
      <c r="A15" s="505" t="s">
        <v>49</v>
      </c>
      <c r="B15" s="1236" t="s">
        <v>48</v>
      </c>
      <c r="C15" s="1235"/>
      <c r="D15" s="1056">
        <f t="shared" si="34"/>
        <v>0</v>
      </c>
      <c r="E15" s="1057">
        <f t="shared" si="35"/>
        <v>0</v>
      </c>
      <c r="F15" s="1058">
        <f t="shared" si="36"/>
        <v>0</v>
      </c>
      <c r="G15" s="746"/>
      <c r="H15" s="446"/>
      <c r="I15" s="703">
        <f t="shared" si="4"/>
        <v>0</v>
      </c>
      <c r="J15" s="446"/>
      <c r="K15" s="446"/>
      <c r="L15" s="703">
        <f t="shared" si="5"/>
        <v>0</v>
      </c>
      <c r="M15" s="446"/>
      <c r="N15" s="446"/>
      <c r="O15" s="703">
        <f t="shared" si="6"/>
        <v>0</v>
      </c>
      <c r="P15" s="446"/>
      <c r="Q15" s="446"/>
      <c r="R15" s="703">
        <f t="shared" si="7"/>
        <v>0</v>
      </c>
      <c r="S15" s="446"/>
      <c r="T15" s="446"/>
      <c r="U15" s="703">
        <f t="shared" si="8"/>
        <v>0</v>
      </c>
      <c r="V15" s="446"/>
      <c r="W15" s="446"/>
      <c r="X15" s="703">
        <f t="shared" si="9"/>
        <v>0</v>
      </c>
      <c r="Y15" s="446"/>
      <c r="Z15" s="446"/>
      <c r="AA15" s="703">
        <f t="shared" si="10"/>
        <v>0</v>
      </c>
      <c r="AB15" s="446"/>
      <c r="AC15" s="446"/>
      <c r="AD15" s="703">
        <f t="shared" si="11"/>
        <v>0</v>
      </c>
      <c r="AE15" s="446"/>
      <c r="AF15" s="446"/>
      <c r="AG15" s="1046">
        <f t="shared" si="12"/>
        <v>0</v>
      </c>
      <c r="AH15" s="446"/>
      <c r="AI15" s="446"/>
      <c r="AJ15" s="1042">
        <f t="shared" si="37"/>
        <v>0</v>
      </c>
    </row>
    <row r="16" spans="1:36" ht="12.75" customHeight="1" x14ac:dyDescent="0.2">
      <c r="A16" s="505" t="s">
        <v>51</v>
      </c>
      <c r="B16" s="1236" t="s">
        <v>50</v>
      </c>
      <c r="C16" s="1235"/>
      <c r="D16" s="1056">
        <f t="shared" si="34"/>
        <v>0</v>
      </c>
      <c r="E16" s="1057">
        <f t="shared" si="35"/>
        <v>0</v>
      </c>
      <c r="F16" s="1058">
        <f t="shared" si="36"/>
        <v>0</v>
      </c>
      <c r="G16" s="746"/>
      <c r="H16" s="446"/>
      <c r="I16" s="703">
        <f t="shared" si="4"/>
        <v>0</v>
      </c>
      <c r="J16" s="446"/>
      <c r="K16" s="446"/>
      <c r="L16" s="703">
        <f t="shared" si="5"/>
        <v>0</v>
      </c>
      <c r="M16" s="446"/>
      <c r="N16" s="446"/>
      <c r="O16" s="703">
        <f t="shared" si="6"/>
        <v>0</v>
      </c>
      <c r="P16" s="446"/>
      <c r="Q16" s="446"/>
      <c r="R16" s="703">
        <f t="shared" si="7"/>
        <v>0</v>
      </c>
      <c r="S16" s="446"/>
      <c r="T16" s="446"/>
      <c r="U16" s="703">
        <f t="shared" si="8"/>
        <v>0</v>
      </c>
      <c r="V16" s="446"/>
      <c r="W16" s="446"/>
      <c r="X16" s="703">
        <f t="shared" si="9"/>
        <v>0</v>
      </c>
      <c r="Y16" s="446"/>
      <c r="Z16" s="446"/>
      <c r="AA16" s="703">
        <f t="shared" si="10"/>
        <v>0</v>
      </c>
      <c r="AB16" s="446"/>
      <c r="AC16" s="446"/>
      <c r="AD16" s="703">
        <f t="shared" si="11"/>
        <v>0</v>
      </c>
      <c r="AE16" s="446"/>
      <c r="AF16" s="446"/>
      <c r="AG16" s="1046">
        <f t="shared" si="12"/>
        <v>0</v>
      </c>
      <c r="AH16" s="446"/>
      <c r="AI16" s="446"/>
      <c r="AJ16" s="1042">
        <f t="shared" si="37"/>
        <v>0</v>
      </c>
    </row>
    <row r="17" spans="1:36" s="37" customFormat="1" ht="12.75" customHeight="1" x14ac:dyDescent="0.2">
      <c r="A17" s="503" t="s">
        <v>52</v>
      </c>
      <c r="B17" s="1240" t="s">
        <v>169</v>
      </c>
      <c r="C17" s="1225"/>
      <c r="D17" s="1056">
        <f t="shared" si="34"/>
        <v>0</v>
      </c>
      <c r="E17" s="1057">
        <f t="shared" si="35"/>
        <v>0</v>
      </c>
      <c r="F17" s="1058">
        <f t="shared" si="36"/>
        <v>0</v>
      </c>
      <c r="G17" s="965">
        <f>+G15+G16</f>
        <v>0</v>
      </c>
      <c r="H17" s="703">
        <f t="shared" ref="H17:AC17" si="47">+H15+H16</f>
        <v>0</v>
      </c>
      <c r="I17" s="703">
        <f t="shared" si="4"/>
        <v>0</v>
      </c>
      <c r="J17" s="703">
        <f t="shared" ref="J17" si="48">+J15+J16</f>
        <v>0</v>
      </c>
      <c r="K17" s="703">
        <f t="shared" si="47"/>
        <v>0</v>
      </c>
      <c r="L17" s="703">
        <f t="shared" si="5"/>
        <v>0</v>
      </c>
      <c r="M17" s="703">
        <f t="shared" ref="M17" si="49">+M15+M16</f>
        <v>0</v>
      </c>
      <c r="N17" s="703">
        <f t="shared" si="47"/>
        <v>0</v>
      </c>
      <c r="O17" s="703">
        <f t="shared" si="6"/>
        <v>0</v>
      </c>
      <c r="P17" s="703">
        <f t="shared" ref="P17" si="50">+P15+P16</f>
        <v>0</v>
      </c>
      <c r="Q17" s="703">
        <f t="shared" si="47"/>
        <v>0</v>
      </c>
      <c r="R17" s="703">
        <f t="shared" si="7"/>
        <v>0</v>
      </c>
      <c r="S17" s="703">
        <f t="shared" ref="S17" si="51">+S15+S16</f>
        <v>0</v>
      </c>
      <c r="T17" s="703">
        <f t="shared" si="47"/>
        <v>0</v>
      </c>
      <c r="U17" s="703">
        <f t="shared" si="8"/>
        <v>0</v>
      </c>
      <c r="V17" s="703">
        <f t="shared" ref="V17" si="52">+V15+V16</f>
        <v>0</v>
      </c>
      <c r="W17" s="703">
        <f t="shared" si="47"/>
        <v>0</v>
      </c>
      <c r="X17" s="703">
        <f t="shared" si="9"/>
        <v>0</v>
      </c>
      <c r="Y17" s="703">
        <f t="shared" si="47"/>
        <v>0</v>
      </c>
      <c r="Z17" s="703">
        <f t="shared" si="47"/>
        <v>0</v>
      </c>
      <c r="AA17" s="703">
        <f t="shared" si="10"/>
        <v>0</v>
      </c>
      <c r="AB17" s="703">
        <f t="shared" ref="AB17" si="53">+AB15+AB16</f>
        <v>0</v>
      </c>
      <c r="AC17" s="703">
        <f t="shared" si="47"/>
        <v>0</v>
      </c>
      <c r="AD17" s="703">
        <f t="shared" si="11"/>
        <v>0</v>
      </c>
      <c r="AE17" s="703">
        <f t="shared" ref="AE17" si="54">+AE15+AE16</f>
        <v>0</v>
      </c>
      <c r="AF17" s="703">
        <f>+AF15+AF16</f>
        <v>0</v>
      </c>
      <c r="AG17" s="1046">
        <f t="shared" si="12"/>
        <v>0</v>
      </c>
      <c r="AH17" s="703">
        <f t="shared" ref="AH17" si="55">+AH15+AH16</f>
        <v>0</v>
      </c>
      <c r="AI17" s="703">
        <f>+AI15+AI16</f>
        <v>0</v>
      </c>
      <c r="AJ17" s="1042">
        <f t="shared" si="37"/>
        <v>0</v>
      </c>
    </row>
    <row r="18" spans="1:36" ht="12.75" customHeight="1" x14ac:dyDescent="0.2">
      <c r="A18" s="505" t="s">
        <v>54</v>
      </c>
      <c r="B18" s="1236" t="s">
        <v>53</v>
      </c>
      <c r="C18" s="1235"/>
      <c r="D18" s="1056">
        <f t="shared" si="34"/>
        <v>0</v>
      </c>
      <c r="E18" s="1057">
        <f t="shared" si="35"/>
        <v>0</v>
      </c>
      <c r="F18" s="1058">
        <f t="shared" si="36"/>
        <v>0</v>
      </c>
      <c r="G18" s="746"/>
      <c r="H18" s="446"/>
      <c r="I18" s="703">
        <f t="shared" si="4"/>
        <v>0</v>
      </c>
      <c r="J18" s="446"/>
      <c r="K18" s="446"/>
      <c r="L18" s="703">
        <f t="shared" si="5"/>
        <v>0</v>
      </c>
      <c r="M18" s="446"/>
      <c r="N18" s="446"/>
      <c r="O18" s="703">
        <f t="shared" si="6"/>
        <v>0</v>
      </c>
      <c r="P18" s="446"/>
      <c r="Q18" s="446"/>
      <c r="R18" s="703">
        <f t="shared" si="7"/>
        <v>0</v>
      </c>
      <c r="S18" s="446"/>
      <c r="T18" s="446"/>
      <c r="U18" s="703">
        <f t="shared" si="8"/>
        <v>0</v>
      </c>
      <c r="V18" s="446"/>
      <c r="W18" s="446"/>
      <c r="X18" s="703">
        <f t="shared" si="9"/>
        <v>0</v>
      </c>
      <c r="Y18" s="446"/>
      <c r="Z18" s="446"/>
      <c r="AA18" s="703">
        <f t="shared" si="10"/>
        <v>0</v>
      </c>
      <c r="AB18" s="446"/>
      <c r="AC18" s="446"/>
      <c r="AD18" s="703">
        <f t="shared" si="11"/>
        <v>0</v>
      </c>
      <c r="AE18" s="446"/>
      <c r="AF18" s="446"/>
      <c r="AG18" s="1046">
        <f t="shared" si="12"/>
        <v>0</v>
      </c>
      <c r="AH18" s="446"/>
      <c r="AI18" s="446"/>
      <c r="AJ18" s="1042">
        <f t="shared" si="37"/>
        <v>0</v>
      </c>
    </row>
    <row r="19" spans="1:36" ht="12.75" customHeight="1" x14ac:dyDescent="0.2">
      <c r="A19" s="505" t="s">
        <v>56</v>
      </c>
      <c r="B19" s="1236" t="s">
        <v>55</v>
      </c>
      <c r="C19" s="1235"/>
      <c r="D19" s="1056">
        <f t="shared" si="34"/>
        <v>0</v>
      </c>
      <c r="E19" s="1057">
        <f t="shared" si="35"/>
        <v>0</v>
      </c>
      <c r="F19" s="1058">
        <f t="shared" si="36"/>
        <v>0</v>
      </c>
      <c r="G19" s="746"/>
      <c r="H19" s="446"/>
      <c r="I19" s="703">
        <f t="shared" si="4"/>
        <v>0</v>
      </c>
      <c r="J19" s="446"/>
      <c r="K19" s="446"/>
      <c r="L19" s="703">
        <f t="shared" si="5"/>
        <v>0</v>
      </c>
      <c r="M19" s="446"/>
      <c r="N19" s="446"/>
      <c r="O19" s="703">
        <f t="shared" si="6"/>
        <v>0</v>
      </c>
      <c r="P19" s="446"/>
      <c r="Q19" s="446"/>
      <c r="R19" s="703">
        <f t="shared" si="7"/>
        <v>0</v>
      </c>
      <c r="S19" s="446"/>
      <c r="T19" s="446"/>
      <c r="U19" s="703">
        <f t="shared" si="8"/>
        <v>0</v>
      </c>
      <c r="V19" s="446"/>
      <c r="W19" s="446"/>
      <c r="X19" s="703">
        <f t="shared" si="9"/>
        <v>0</v>
      </c>
      <c r="Y19" s="446"/>
      <c r="Z19" s="446"/>
      <c r="AA19" s="703">
        <f t="shared" si="10"/>
        <v>0</v>
      </c>
      <c r="AB19" s="446"/>
      <c r="AC19" s="446"/>
      <c r="AD19" s="703">
        <f t="shared" si="11"/>
        <v>0</v>
      </c>
      <c r="AE19" s="446"/>
      <c r="AF19" s="446"/>
      <c r="AG19" s="1046">
        <f t="shared" si="12"/>
        <v>0</v>
      </c>
      <c r="AH19" s="446"/>
      <c r="AI19" s="446"/>
      <c r="AJ19" s="1042">
        <f t="shared" si="37"/>
        <v>0</v>
      </c>
    </row>
    <row r="20" spans="1:36" ht="12.75" customHeight="1" x14ac:dyDescent="0.2">
      <c r="A20" s="505" t="s">
        <v>57</v>
      </c>
      <c r="B20" s="1236" t="s">
        <v>167</v>
      </c>
      <c r="C20" s="1235"/>
      <c r="D20" s="1056">
        <f t="shared" si="34"/>
        <v>0</v>
      </c>
      <c r="E20" s="1057">
        <f t="shared" si="35"/>
        <v>0</v>
      </c>
      <c r="F20" s="1058">
        <f t="shared" si="36"/>
        <v>0</v>
      </c>
      <c r="G20" s="746"/>
      <c r="H20" s="446"/>
      <c r="I20" s="703">
        <f t="shared" si="4"/>
        <v>0</v>
      </c>
      <c r="J20" s="446"/>
      <c r="K20" s="446"/>
      <c r="L20" s="703">
        <f t="shared" si="5"/>
        <v>0</v>
      </c>
      <c r="M20" s="446"/>
      <c r="N20" s="446"/>
      <c r="O20" s="703">
        <f t="shared" si="6"/>
        <v>0</v>
      </c>
      <c r="P20" s="446"/>
      <c r="Q20" s="446"/>
      <c r="R20" s="703">
        <f t="shared" si="7"/>
        <v>0</v>
      </c>
      <c r="S20" s="446"/>
      <c r="T20" s="446"/>
      <c r="U20" s="703">
        <f t="shared" si="8"/>
        <v>0</v>
      </c>
      <c r="V20" s="446"/>
      <c r="W20" s="446"/>
      <c r="X20" s="703">
        <f t="shared" si="9"/>
        <v>0</v>
      </c>
      <c r="Y20" s="446"/>
      <c r="Z20" s="446"/>
      <c r="AA20" s="703">
        <f t="shared" si="10"/>
        <v>0</v>
      </c>
      <c r="AB20" s="446"/>
      <c r="AC20" s="446"/>
      <c r="AD20" s="703">
        <f t="shared" si="11"/>
        <v>0</v>
      </c>
      <c r="AE20" s="446"/>
      <c r="AF20" s="446"/>
      <c r="AG20" s="1046">
        <f t="shared" si="12"/>
        <v>0</v>
      </c>
      <c r="AH20" s="446"/>
      <c r="AI20" s="446"/>
      <c r="AJ20" s="1042">
        <f t="shared" si="37"/>
        <v>0</v>
      </c>
    </row>
    <row r="21" spans="1:36" ht="12.75" customHeight="1" x14ac:dyDescent="0.2">
      <c r="A21" s="505" t="s">
        <v>59</v>
      </c>
      <c r="B21" s="1236" t="s">
        <v>58</v>
      </c>
      <c r="C21" s="1235"/>
      <c r="D21" s="1056">
        <f t="shared" si="34"/>
        <v>0</v>
      </c>
      <c r="E21" s="1057">
        <f t="shared" si="35"/>
        <v>0</v>
      </c>
      <c r="F21" s="1058">
        <f t="shared" si="36"/>
        <v>0</v>
      </c>
      <c r="G21" s="746"/>
      <c r="H21" s="446"/>
      <c r="I21" s="703">
        <f t="shared" si="4"/>
        <v>0</v>
      </c>
      <c r="J21" s="446"/>
      <c r="K21" s="446"/>
      <c r="L21" s="703">
        <f t="shared" si="5"/>
        <v>0</v>
      </c>
      <c r="M21" s="446"/>
      <c r="N21" s="446"/>
      <c r="O21" s="703">
        <f t="shared" si="6"/>
        <v>0</v>
      </c>
      <c r="P21" s="446"/>
      <c r="Q21" s="446"/>
      <c r="R21" s="703">
        <f t="shared" si="7"/>
        <v>0</v>
      </c>
      <c r="S21" s="446"/>
      <c r="T21" s="446"/>
      <c r="U21" s="703">
        <f t="shared" si="8"/>
        <v>0</v>
      </c>
      <c r="V21" s="446"/>
      <c r="W21" s="446"/>
      <c r="X21" s="703">
        <f t="shared" si="9"/>
        <v>0</v>
      </c>
      <c r="Y21" s="446"/>
      <c r="Z21" s="446"/>
      <c r="AA21" s="703">
        <f t="shared" si="10"/>
        <v>0</v>
      </c>
      <c r="AB21" s="446"/>
      <c r="AC21" s="446"/>
      <c r="AD21" s="703">
        <f t="shared" si="11"/>
        <v>0</v>
      </c>
      <c r="AE21" s="446"/>
      <c r="AF21" s="446"/>
      <c r="AG21" s="1046">
        <f t="shared" si="12"/>
        <v>0</v>
      </c>
      <c r="AH21" s="446"/>
      <c r="AI21" s="446"/>
      <c r="AJ21" s="1042">
        <f t="shared" si="37"/>
        <v>0</v>
      </c>
    </row>
    <row r="22" spans="1:36" ht="12.75" customHeight="1" x14ac:dyDescent="0.2">
      <c r="A22" s="505" t="s">
        <v>60</v>
      </c>
      <c r="B22" s="1236" t="s">
        <v>166</v>
      </c>
      <c r="C22" s="1235"/>
      <c r="D22" s="1056">
        <f t="shared" si="34"/>
        <v>0</v>
      </c>
      <c r="E22" s="1057">
        <f t="shared" si="35"/>
        <v>0</v>
      </c>
      <c r="F22" s="1058">
        <f t="shared" si="36"/>
        <v>0</v>
      </c>
      <c r="G22" s="746"/>
      <c r="H22" s="446"/>
      <c r="I22" s="703">
        <f t="shared" si="4"/>
        <v>0</v>
      </c>
      <c r="J22" s="446"/>
      <c r="K22" s="446"/>
      <c r="L22" s="703">
        <f t="shared" si="5"/>
        <v>0</v>
      </c>
      <c r="M22" s="446"/>
      <c r="N22" s="446"/>
      <c r="O22" s="703">
        <f t="shared" si="6"/>
        <v>0</v>
      </c>
      <c r="P22" s="446"/>
      <c r="Q22" s="446"/>
      <c r="R22" s="703">
        <f t="shared" si="7"/>
        <v>0</v>
      </c>
      <c r="S22" s="446"/>
      <c r="T22" s="446"/>
      <c r="U22" s="703">
        <f t="shared" si="8"/>
        <v>0</v>
      </c>
      <c r="V22" s="446"/>
      <c r="W22" s="446"/>
      <c r="X22" s="703">
        <f t="shared" si="9"/>
        <v>0</v>
      </c>
      <c r="Y22" s="446"/>
      <c r="Z22" s="446"/>
      <c r="AA22" s="703">
        <f t="shared" si="10"/>
        <v>0</v>
      </c>
      <c r="AB22" s="446"/>
      <c r="AC22" s="446"/>
      <c r="AD22" s="703">
        <f t="shared" si="11"/>
        <v>0</v>
      </c>
      <c r="AE22" s="446"/>
      <c r="AF22" s="446"/>
      <c r="AG22" s="1046">
        <f t="shared" si="12"/>
        <v>0</v>
      </c>
      <c r="AH22" s="446"/>
      <c r="AI22" s="446"/>
      <c r="AJ22" s="1042">
        <f t="shared" si="37"/>
        <v>0</v>
      </c>
    </row>
    <row r="23" spans="1:36" ht="12.75" customHeight="1" x14ac:dyDescent="0.2">
      <c r="A23" s="505" t="s">
        <v>63</v>
      </c>
      <c r="B23" s="1236" t="s">
        <v>62</v>
      </c>
      <c r="C23" s="1235"/>
      <c r="D23" s="1056">
        <f t="shared" si="34"/>
        <v>1056</v>
      </c>
      <c r="E23" s="1057">
        <f t="shared" si="35"/>
        <v>0</v>
      </c>
      <c r="F23" s="1058">
        <f t="shared" si="36"/>
        <v>1056</v>
      </c>
      <c r="G23" s="746"/>
      <c r="H23" s="446"/>
      <c r="I23" s="703">
        <f t="shared" si="4"/>
        <v>0</v>
      </c>
      <c r="J23" s="446"/>
      <c r="K23" s="446"/>
      <c r="L23" s="703">
        <f t="shared" si="5"/>
        <v>0</v>
      </c>
      <c r="M23" s="446">
        <v>1056</v>
      </c>
      <c r="N23" s="446"/>
      <c r="O23" s="703">
        <f t="shared" si="6"/>
        <v>1056</v>
      </c>
      <c r="P23" s="446"/>
      <c r="Q23" s="446"/>
      <c r="R23" s="703">
        <f t="shared" si="7"/>
        <v>0</v>
      </c>
      <c r="S23" s="446"/>
      <c r="T23" s="446"/>
      <c r="U23" s="703">
        <f t="shared" si="8"/>
        <v>0</v>
      </c>
      <c r="V23" s="1063"/>
      <c r="W23" s="446"/>
      <c r="X23" s="703">
        <f t="shared" si="9"/>
        <v>0</v>
      </c>
      <c r="Y23" s="446"/>
      <c r="Z23" s="446"/>
      <c r="AA23" s="703">
        <f t="shared" si="10"/>
        <v>0</v>
      </c>
      <c r="AB23" s="446"/>
      <c r="AC23" s="446"/>
      <c r="AD23" s="703">
        <f t="shared" si="11"/>
        <v>0</v>
      </c>
      <c r="AE23" s="446"/>
      <c r="AF23" s="446"/>
      <c r="AG23" s="1046">
        <f t="shared" si="12"/>
        <v>0</v>
      </c>
      <c r="AH23" s="446">
        <v>0</v>
      </c>
      <c r="AI23" s="446"/>
      <c r="AJ23" s="1042">
        <f t="shared" si="37"/>
        <v>0</v>
      </c>
    </row>
    <row r="24" spans="1:36" ht="12.75" customHeight="1" x14ac:dyDescent="0.2">
      <c r="A24" s="505" t="s">
        <v>65</v>
      </c>
      <c r="B24" s="1236" t="s">
        <v>64</v>
      </c>
      <c r="C24" s="1235"/>
      <c r="D24" s="1056">
        <f t="shared" si="34"/>
        <v>946</v>
      </c>
      <c r="E24" s="1057">
        <f t="shared" si="35"/>
        <v>178</v>
      </c>
      <c r="F24" s="1058">
        <f t="shared" si="36"/>
        <v>1124</v>
      </c>
      <c r="G24" s="446">
        <v>308</v>
      </c>
      <c r="H24" s="446">
        <v>178</v>
      </c>
      <c r="I24" s="703">
        <f t="shared" si="4"/>
        <v>486</v>
      </c>
      <c r="J24" s="446"/>
      <c r="K24" s="446"/>
      <c r="L24" s="703">
        <f t="shared" si="5"/>
        <v>0</v>
      </c>
      <c r="M24" s="446">
        <v>454</v>
      </c>
      <c r="N24" s="446"/>
      <c r="O24" s="703">
        <f t="shared" si="6"/>
        <v>454</v>
      </c>
      <c r="P24" s="446"/>
      <c r="Q24" s="446"/>
      <c r="R24" s="703">
        <f t="shared" si="7"/>
        <v>0</v>
      </c>
      <c r="S24" s="446"/>
      <c r="T24" s="446"/>
      <c r="U24" s="703">
        <f t="shared" si="8"/>
        <v>0</v>
      </c>
      <c r="V24" s="122"/>
      <c r="W24" s="446"/>
      <c r="X24" s="703">
        <f t="shared" si="9"/>
        <v>0</v>
      </c>
      <c r="Y24" s="446"/>
      <c r="Z24" s="446"/>
      <c r="AA24" s="703">
        <f t="shared" si="10"/>
        <v>0</v>
      </c>
      <c r="AB24" s="446">
        <v>0</v>
      </c>
      <c r="AC24" s="446"/>
      <c r="AD24" s="703">
        <f t="shared" si="11"/>
        <v>0</v>
      </c>
      <c r="AE24" s="446">
        <v>184</v>
      </c>
      <c r="AF24" s="446"/>
      <c r="AG24" s="1046">
        <f t="shared" si="12"/>
        <v>184</v>
      </c>
      <c r="AH24" s="446"/>
      <c r="AI24" s="446"/>
      <c r="AJ24" s="1042">
        <f t="shared" si="37"/>
        <v>0</v>
      </c>
    </row>
    <row r="25" spans="1:36" s="37" customFormat="1" ht="12.75" customHeight="1" x14ac:dyDescent="0.2">
      <c r="A25" s="503" t="s">
        <v>66</v>
      </c>
      <c r="B25" s="1240" t="s">
        <v>156</v>
      </c>
      <c r="C25" s="1225"/>
      <c r="D25" s="1056">
        <f t="shared" si="34"/>
        <v>2002</v>
      </c>
      <c r="E25" s="1057">
        <f t="shared" si="35"/>
        <v>178</v>
      </c>
      <c r="F25" s="1058">
        <f t="shared" si="36"/>
        <v>2180</v>
      </c>
      <c r="G25" s="703">
        <f t="shared" ref="G25" si="56">+G24+G23+G22+G21+G20+G19+G18</f>
        <v>308</v>
      </c>
      <c r="H25" s="703">
        <f t="shared" ref="H25:AF25" si="57">+H24+H23+H22+H21+H20+H19+H18</f>
        <v>178</v>
      </c>
      <c r="I25" s="703">
        <f t="shared" si="4"/>
        <v>486</v>
      </c>
      <c r="J25" s="703">
        <f t="shared" ref="J25" si="58">+J24+J23+J22+J21+J20+J19+J18</f>
        <v>0</v>
      </c>
      <c r="K25" s="703">
        <f t="shared" si="57"/>
        <v>0</v>
      </c>
      <c r="L25" s="703">
        <f t="shared" si="5"/>
        <v>0</v>
      </c>
      <c r="M25" s="703">
        <f t="shared" ref="M25" si="59">+M24+M23+M22+M21+M20+M19+M18</f>
        <v>1510</v>
      </c>
      <c r="N25" s="703">
        <f t="shared" si="57"/>
        <v>0</v>
      </c>
      <c r="O25" s="703">
        <f t="shared" si="6"/>
        <v>1510</v>
      </c>
      <c r="P25" s="703">
        <f t="shared" ref="P25" si="60">+P24+P23+P22+P21+P20+P19+P18</f>
        <v>0</v>
      </c>
      <c r="Q25" s="703">
        <f t="shared" si="57"/>
        <v>0</v>
      </c>
      <c r="R25" s="703">
        <f t="shared" si="7"/>
        <v>0</v>
      </c>
      <c r="S25" s="703">
        <f t="shared" ref="S25" si="61">+S24+S23+S22+S21+S20+S19+S18</f>
        <v>0</v>
      </c>
      <c r="T25" s="703">
        <f t="shared" si="57"/>
        <v>0</v>
      </c>
      <c r="U25" s="703">
        <f t="shared" si="8"/>
        <v>0</v>
      </c>
      <c r="V25" s="134">
        <f t="shared" ref="V25" si="62">+V24+V23+V22+V21+V20+V19+V18</f>
        <v>0</v>
      </c>
      <c r="W25" s="703">
        <f t="shared" si="57"/>
        <v>0</v>
      </c>
      <c r="X25" s="703">
        <f t="shared" si="9"/>
        <v>0</v>
      </c>
      <c r="Y25" s="703">
        <f t="shared" si="57"/>
        <v>0</v>
      </c>
      <c r="Z25" s="703">
        <f t="shared" si="57"/>
        <v>0</v>
      </c>
      <c r="AA25" s="703">
        <f t="shared" si="10"/>
        <v>0</v>
      </c>
      <c r="AB25" s="703">
        <f t="shared" ref="AB25" si="63">+AB24+AB23+AB22+AB21+AB20+AB19+AB18</f>
        <v>0</v>
      </c>
      <c r="AC25" s="703">
        <f t="shared" si="57"/>
        <v>0</v>
      </c>
      <c r="AD25" s="703">
        <f t="shared" si="11"/>
        <v>0</v>
      </c>
      <c r="AE25" s="703">
        <f t="shared" ref="AE25" si="64">+AE24+AE23+AE22+AE21+AE20+AE19+AE18</f>
        <v>184</v>
      </c>
      <c r="AF25" s="703">
        <f t="shared" si="57"/>
        <v>0</v>
      </c>
      <c r="AG25" s="1046">
        <f t="shared" si="12"/>
        <v>184</v>
      </c>
      <c r="AH25" s="703">
        <f t="shared" ref="AH25" si="65">+AH24+AH23+AH22+AH21+AH20+AH19+AH18</f>
        <v>0</v>
      </c>
      <c r="AI25" s="703">
        <f t="shared" ref="AI25" si="66">+AI24+AI23+AI22+AI21+AI20+AI19+AI18</f>
        <v>0</v>
      </c>
      <c r="AJ25" s="1042">
        <f t="shared" si="37"/>
        <v>0</v>
      </c>
    </row>
    <row r="26" spans="1:36" ht="12.75" customHeight="1" x14ac:dyDescent="0.2">
      <c r="A26" s="505" t="s">
        <v>68</v>
      </c>
      <c r="B26" s="1236" t="s">
        <v>67</v>
      </c>
      <c r="C26" s="1235"/>
      <c r="D26" s="1056">
        <f t="shared" si="34"/>
        <v>0</v>
      </c>
      <c r="E26" s="1057">
        <f t="shared" si="35"/>
        <v>0</v>
      </c>
      <c r="F26" s="1058">
        <f t="shared" si="36"/>
        <v>0</v>
      </c>
      <c r="G26" s="446"/>
      <c r="H26" s="446"/>
      <c r="I26" s="703">
        <f t="shared" si="4"/>
        <v>0</v>
      </c>
      <c r="J26" s="446"/>
      <c r="K26" s="446"/>
      <c r="L26" s="703">
        <f t="shared" si="5"/>
        <v>0</v>
      </c>
      <c r="M26" s="446"/>
      <c r="N26" s="446"/>
      <c r="O26" s="703">
        <f t="shared" si="6"/>
        <v>0</v>
      </c>
      <c r="P26" s="446"/>
      <c r="Q26" s="446"/>
      <c r="R26" s="703">
        <f t="shared" si="7"/>
        <v>0</v>
      </c>
      <c r="S26" s="446"/>
      <c r="T26" s="446"/>
      <c r="U26" s="703">
        <f t="shared" si="8"/>
        <v>0</v>
      </c>
      <c r="V26" s="122"/>
      <c r="W26" s="446"/>
      <c r="X26" s="703">
        <f t="shared" si="9"/>
        <v>0</v>
      </c>
      <c r="Y26" s="446"/>
      <c r="Z26" s="446"/>
      <c r="AA26" s="703">
        <f t="shared" si="10"/>
        <v>0</v>
      </c>
      <c r="AB26" s="446"/>
      <c r="AC26" s="446"/>
      <c r="AD26" s="703">
        <f t="shared" si="11"/>
        <v>0</v>
      </c>
      <c r="AE26" s="446"/>
      <c r="AF26" s="446"/>
      <c r="AG26" s="1046">
        <f t="shared" si="12"/>
        <v>0</v>
      </c>
      <c r="AH26" s="446"/>
      <c r="AI26" s="446"/>
      <c r="AJ26" s="1042">
        <f t="shared" si="37"/>
        <v>0</v>
      </c>
    </row>
    <row r="27" spans="1:36" ht="12.75" customHeight="1" x14ac:dyDescent="0.2">
      <c r="A27" s="505" t="s">
        <v>70</v>
      </c>
      <c r="B27" s="1236" t="s">
        <v>69</v>
      </c>
      <c r="C27" s="1235"/>
      <c r="D27" s="1056">
        <f t="shared" si="34"/>
        <v>4422</v>
      </c>
      <c r="E27" s="1057">
        <f t="shared" si="35"/>
        <v>0</v>
      </c>
      <c r="F27" s="1058">
        <f t="shared" si="36"/>
        <v>4422</v>
      </c>
      <c r="G27" s="446"/>
      <c r="H27" s="446"/>
      <c r="I27" s="703">
        <f t="shared" si="4"/>
        <v>0</v>
      </c>
      <c r="J27" s="446"/>
      <c r="K27" s="446"/>
      <c r="L27" s="703">
        <f t="shared" si="5"/>
        <v>0</v>
      </c>
      <c r="M27" s="446">
        <v>4300</v>
      </c>
      <c r="N27" s="446"/>
      <c r="O27" s="703">
        <f t="shared" si="6"/>
        <v>4300</v>
      </c>
      <c r="P27" s="446"/>
      <c r="Q27" s="446"/>
      <c r="R27" s="703">
        <f t="shared" si="7"/>
        <v>0</v>
      </c>
      <c r="S27" s="446"/>
      <c r="T27" s="446"/>
      <c r="U27" s="703">
        <f t="shared" si="8"/>
        <v>0</v>
      </c>
      <c r="V27" s="122">
        <v>80</v>
      </c>
      <c r="W27" s="446"/>
      <c r="X27" s="703">
        <f t="shared" si="9"/>
        <v>80</v>
      </c>
      <c r="Y27" s="446"/>
      <c r="Z27" s="446"/>
      <c r="AA27" s="703">
        <f t="shared" si="10"/>
        <v>0</v>
      </c>
      <c r="AB27" s="446"/>
      <c r="AC27" s="446"/>
      <c r="AD27" s="703">
        <f t="shared" si="11"/>
        <v>0</v>
      </c>
      <c r="AE27" s="446">
        <v>42</v>
      </c>
      <c r="AF27" s="446"/>
      <c r="AG27" s="1046">
        <f t="shared" si="12"/>
        <v>42</v>
      </c>
      <c r="AH27" s="446">
        <v>0</v>
      </c>
      <c r="AI27" s="446"/>
      <c r="AJ27" s="1042">
        <f t="shared" si="37"/>
        <v>0</v>
      </c>
    </row>
    <row r="28" spans="1:36" s="37" customFormat="1" ht="12.75" customHeight="1" x14ac:dyDescent="0.2">
      <c r="A28" s="503" t="s">
        <v>71</v>
      </c>
      <c r="B28" s="1240" t="s">
        <v>155</v>
      </c>
      <c r="C28" s="1225"/>
      <c r="D28" s="1056">
        <f t="shared" si="34"/>
        <v>4422</v>
      </c>
      <c r="E28" s="1057">
        <f t="shared" si="35"/>
        <v>0</v>
      </c>
      <c r="F28" s="1058">
        <f t="shared" si="36"/>
        <v>4422</v>
      </c>
      <c r="G28" s="703">
        <f>SUM(G26:G27)</f>
        <v>0</v>
      </c>
      <c r="H28" s="703">
        <f t="shared" ref="H28:AC28" si="67">SUM(H26:H27)</f>
        <v>0</v>
      </c>
      <c r="I28" s="703">
        <f t="shared" si="4"/>
        <v>0</v>
      </c>
      <c r="J28" s="703">
        <f t="shared" ref="J28" si="68">SUM(J26:J27)</f>
        <v>0</v>
      </c>
      <c r="K28" s="703">
        <f t="shared" si="67"/>
        <v>0</v>
      </c>
      <c r="L28" s="703">
        <f t="shared" si="5"/>
        <v>0</v>
      </c>
      <c r="M28" s="703">
        <f t="shared" ref="M28" si="69">SUM(M26:M27)</f>
        <v>4300</v>
      </c>
      <c r="N28" s="703">
        <f t="shared" si="67"/>
        <v>0</v>
      </c>
      <c r="O28" s="703">
        <f t="shared" si="6"/>
        <v>4300</v>
      </c>
      <c r="P28" s="703">
        <f t="shared" ref="P28" si="70">SUM(P26:P27)</f>
        <v>0</v>
      </c>
      <c r="Q28" s="703">
        <f t="shared" si="67"/>
        <v>0</v>
      </c>
      <c r="R28" s="703">
        <f t="shared" si="7"/>
        <v>0</v>
      </c>
      <c r="S28" s="703">
        <f t="shared" ref="S28" si="71">SUM(S26:S27)</f>
        <v>0</v>
      </c>
      <c r="T28" s="703">
        <f t="shared" si="67"/>
        <v>0</v>
      </c>
      <c r="U28" s="703">
        <f t="shared" si="8"/>
        <v>0</v>
      </c>
      <c r="V28" s="134">
        <f t="shared" ref="V28" si="72">SUM(V26:V27)</f>
        <v>80</v>
      </c>
      <c r="W28" s="703">
        <f t="shared" si="67"/>
        <v>0</v>
      </c>
      <c r="X28" s="703">
        <f t="shared" si="9"/>
        <v>80</v>
      </c>
      <c r="Y28" s="703">
        <f t="shared" si="67"/>
        <v>0</v>
      </c>
      <c r="Z28" s="703">
        <f t="shared" si="67"/>
        <v>0</v>
      </c>
      <c r="AA28" s="703">
        <f t="shared" si="10"/>
        <v>0</v>
      </c>
      <c r="AB28" s="703">
        <f t="shared" ref="AB28" si="73">SUM(AB26:AB27)</f>
        <v>0</v>
      </c>
      <c r="AC28" s="703">
        <f t="shared" si="67"/>
        <v>0</v>
      </c>
      <c r="AD28" s="703">
        <f t="shared" si="11"/>
        <v>0</v>
      </c>
      <c r="AE28" s="703">
        <f t="shared" ref="AE28" si="74">SUM(AE26:AE27)</f>
        <v>42</v>
      </c>
      <c r="AF28" s="703">
        <f>SUM(AF26:AF27)</f>
        <v>0</v>
      </c>
      <c r="AG28" s="1046">
        <f t="shared" si="12"/>
        <v>42</v>
      </c>
      <c r="AH28" s="703">
        <f t="shared" ref="AH28" si="75">SUM(AH26:AH27)</f>
        <v>0</v>
      </c>
      <c r="AI28" s="703">
        <f>SUM(AI26:AI27)</f>
        <v>0</v>
      </c>
      <c r="AJ28" s="1042">
        <f t="shared" si="37"/>
        <v>0</v>
      </c>
    </row>
    <row r="29" spans="1:36" ht="12.75" customHeight="1" x14ac:dyDescent="0.2">
      <c r="A29" s="505" t="s">
        <v>73</v>
      </c>
      <c r="B29" s="1236" t="s">
        <v>72</v>
      </c>
      <c r="C29" s="1235"/>
      <c r="D29" s="1056">
        <f t="shared" si="34"/>
        <v>2575</v>
      </c>
      <c r="E29" s="1057">
        <f t="shared" si="35"/>
        <v>0</v>
      </c>
      <c r="F29" s="1058">
        <f t="shared" si="36"/>
        <v>2575</v>
      </c>
      <c r="G29" s="446">
        <v>590</v>
      </c>
      <c r="H29" s="446"/>
      <c r="I29" s="703">
        <f t="shared" si="4"/>
        <v>590</v>
      </c>
      <c r="J29" s="446"/>
      <c r="K29" s="446"/>
      <c r="L29" s="703">
        <f t="shared" si="5"/>
        <v>0</v>
      </c>
      <c r="M29" s="446">
        <v>819</v>
      </c>
      <c r="N29" s="446"/>
      <c r="O29" s="703">
        <f t="shared" si="6"/>
        <v>819</v>
      </c>
      <c r="P29" s="446"/>
      <c r="Q29" s="446"/>
      <c r="R29" s="703">
        <f t="shared" si="7"/>
        <v>0</v>
      </c>
      <c r="S29" s="446">
        <v>865</v>
      </c>
      <c r="T29" s="446"/>
      <c r="U29" s="703">
        <f t="shared" si="8"/>
        <v>865</v>
      </c>
      <c r="V29" s="122">
        <v>120</v>
      </c>
      <c r="W29" s="446"/>
      <c r="X29" s="703">
        <f t="shared" si="9"/>
        <v>120</v>
      </c>
      <c r="Y29" s="446"/>
      <c r="Z29" s="446"/>
      <c r="AA29" s="703">
        <f t="shared" si="10"/>
        <v>0</v>
      </c>
      <c r="AB29" s="446">
        <v>0</v>
      </c>
      <c r="AC29" s="446"/>
      <c r="AD29" s="703">
        <f t="shared" si="11"/>
        <v>0</v>
      </c>
      <c r="AE29" s="446">
        <v>181</v>
      </c>
      <c r="AF29" s="446"/>
      <c r="AG29" s="1046">
        <f t="shared" si="12"/>
        <v>181</v>
      </c>
      <c r="AH29" s="446">
        <v>0</v>
      </c>
      <c r="AI29" s="446"/>
      <c r="AJ29" s="1042">
        <f t="shared" si="37"/>
        <v>0</v>
      </c>
    </row>
    <row r="30" spans="1:36" ht="12.75" customHeight="1" x14ac:dyDescent="0.2">
      <c r="A30" s="505" t="s">
        <v>75</v>
      </c>
      <c r="B30" s="1236" t="s">
        <v>74</v>
      </c>
      <c r="C30" s="1235"/>
      <c r="D30" s="1056">
        <f t="shared" si="34"/>
        <v>77618</v>
      </c>
      <c r="E30" s="1057">
        <f t="shared" si="35"/>
        <v>0</v>
      </c>
      <c r="F30" s="1058">
        <f t="shared" si="36"/>
        <v>77618</v>
      </c>
      <c r="G30" s="446">
        <v>22444</v>
      </c>
      <c r="H30" s="446"/>
      <c r="I30" s="703">
        <f t="shared" si="4"/>
        <v>22444</v>
      </c>
      <c r="J30" s="446"/>
      <c r="K30" s="446"/>
      <c r="L30" s="703">
        <f t="shared" si="5"/>
        <v>0</v>
      </c>
      <c r="M30" s="446"/>
      <c r="N30" s="446"/>
      <c r="O30" s="703">
        <f t="shared" si="6"/>
        <v>0</v>
      </c>
      <c r="P30" s="446"/>
      <c r="Q30" s="446"/>
      <c r="R30" s="703">
        <f t="shared" si="7"/>
        <v>0</v>
      </c>
      <c r="S30" s="446">
        <v>41327</v>
      </c>
      <c r="T30" s="446"/>
      <c r="U30" s="703">
        <f t="shared" si="8"/>
        <v>41327</v>
      </c>
      <c r="V30" s="122"/>
      <c r="W30" s="446"/>
      <c r="X30" s="703">
        <f t="shared" si="9"/>
        <v>0</v>
      </c>
      <c r="Y30" s="446"/>
      <c r="Z30" s="446"/>
      <c r="AA30" s="703">
        <f t="shared" si="10"/>
        <v>0</v>
      </c>
      <c r="AB30" s="446"/>
      <c r="AC30" s="446"/>
      <c r="AD30" s="703">
        <f t="shared" si="11"/>
        <v>0</v>
      </c>
      <c r="AE30" s="446">
        <v>13847</v>
      </c>
      <c r="AF30" s="446"/>
      <c r="AG30" s="1046">
        <f t="shared" si="12"/>
        <v>13847</v>
      </c>
      <c r="AH30" s="446"/>
      <c r="AI30" s="446"/>
      <c r="AJ30" s="1042">
        <f t="shared" si="37"/>
        <v>0</v>
      </c>
    </row>
    <row r="31" spans="1:36" ht="12.75" customHeight="1" x14ac:dyDescent="0.2">
      <c r="A31" s="505" t="s">
        <v>76</v>
      </c>
      <c r="B31" s="1236" t="s">
        <v>154</v>
      </c>
      <c r="C31" s="1235"/>
      <c r="D31" s="1056">
        <f t="shared" si="34"/>
        <v>0</v>
      </c>
      <c r="E31" s="1057">
        <f t="shared" si="35"/>
        <v>0</v>
      </c>
      <c r="F31" s="1058">
        <f t="shared" si="36"/>
        <v>0</v>
      </c>
      <c r="G31" s="446"/>
      <c r="H31" s="446"/>
      <c r="I31" s="703">
        <f t="shared" si="4"/>
        <v>0</v>
      </c>
      <c r="J31" s="446"/>
      <c r="K31" s="446"/>
      <c r="L31" s="703">
        <f t="shared" si="5"/>
        <v>0</v>
      </c>
      <c r="M31" s="446"/>
      <c r="N31" s="446"/>
      <c r="O31" s="703">
        <f t="shared" si="6"/>
        <v>0</v>
      </c>
      <c r="P31" s="446"/>
      <c r="Q31" s="446"/>
      <c r="R31" s="703">
        <f t="shared" si="7"/>
        <v>0</v>
      </c>
      <c r="S31" s="446"/>
      <c r="T31" s="446"/>
      <c r="U31" s="703">
        <f t="shared" si="8"/>
        <v>0</v>
      </c>
      <c r="V31" s="122"/>
      <c r="W31" s="446"/>
      <c r="X31" s="703">
        <f t="shared" si="9"/>
        <v>0</v>
      </c>
      <c r="Y31" s="446"/>
      <c r="Z31" s="446"/>
      <c r="AA31" s="703">
        <f t="shared" si="10"/>
        <v>0</v>
      </c>
      <c r="AB31" s="446"/>
      <c r="AC31" s="446"/>
      <c r="AD31" s="703">
        <f t="shared" si="11"/>
        <v>0</v>
      </c>
      <c r="AE31" s="446"/>
      <c r="AF31" s="446"/>
      <c r="AG31" s="1046">
        <f t="shared" si="12"/>
        <v>0</v>
      </c>
      <c r="AH31" s="446"/>
      <c r="AI31" s="446"/>
      <c r="AJ31" s="1042">
        <f t="shared" si="37"/>
        <v>0</v>
      </c>
    </row>
    <row r="32" spans="1:36" ht="12.75" customHeight="1" x14ac:dyDescent="0.2">
      <c r="A32" s="505" t="s">
        <v>77</v>
      </c>
      <c r="B32" s="1236" t="s">
        <v>153</v>
      </c>
      <c r="C32" s="1235"/>
      <c r="D32" s="1056">
        <f t="shared" si="34"/>
        <v>0</v>
      </c>
      <c r="E32" s="1057">
        <f t="shared" si="35"/>
        <v>0</v>
      </c>
      <c r="F32" s="1058">
        <f t="shared" si="36"/>
        <v>0</v>
      </c>
      <c r="G32" s="446"/>
      <c r="H32" s="446"/>
      <c r="I32" s="703">
        <f t="shared" si="4"/>
        <v>0</v>
      </c>
      <c r="J32" s="446"/>
      <c r="K32" s="446"/>
      <c r="L32" s="703">
        <f t="shared" si="5"/>
        <v>0</v>
      </c>
      <c r="M32" s="446"/>
      <c r="N32" s="446"/>
      <c r="O32" s="703">
        <f t="shared" si="6"/>
        <v>0</v>
      </c>
      <c r="P32" s="446"/>
      <c r="Q32" s="446"/>
      <c r="R32" s="703">
        <f t="shared" si="7"/>
        <v>0</v>
      </c>
      <c r="S32" s="446"/>
      <c r="T32" s="446"/>
      <c r="U32" s="703">
        <f t="shared" si="8"/>
        <v>0</v>
      </c>
      <c r="V32" s="122"/>
      <c r="W32" s="446"/>
      <c r="X32" s="703">
        <f t="shared" si="9"/>
        <v>0</v>
      </c>
      <c r="Y32" s="446"/>
      <c r="Z32" s="446"/>
      <c r="AA32" s="703">
        <f t="shared" si="10"/>
        <v>0</v>
      </c>
      <c r="AB32" s="446"/>
      <c r="AC32" s="446"/>
      <c r="AD32" s="703">
        <f t="shared" si="11"/>
        <v>0</v>
      </c>
      <c r="AE32" s="446"/>
      <c r="AF32" s="446"/>
      <c r="AG32" s="1046">
        <f t="shared" si="12"/>
        <v>0</v>
      </c>
      <c r="AH32" s="446"/>
      <c r="AI32" s="446"/>
      <c r="AJ32" s="1042">
        <f t="shared" si="37"/>
        <v>0</v>
      </c>
    </row>
    <row r="33" spans="1:36" ht="12.75" customHeight="1" x14ac:dyDescent="0.2">
      <c r="A33" s="505" t="s">
        <v>79</v>
      </c>
      <c r="B33" s="1236" t="s">
        <v>78</v>
      </c>
      <c r="C33" s="1235"/>
      <c r="D33" s="1056">
        <f t="shared" si="34"/>
        <v>7398</v>
      </c>
      <c r="E33" s="1057">
        <f t="shared" si="35"/>
        <v>-24</v>
      </c>
      <c r="F33" s="1058">
        <f t="shared" si="36"/>
        <v>7374</v>
      </c>
      <c r="G33" s="446">
        <v>1875</v>
      </c>
      <c r="H33" s="446"/>
      <c r="I33" s="703">
        <f t="shared" si="4"/>
        <v>1875</v>
      </c>
      <c r="J33" s="446"/>
      <c r="K33" s="446"/>
      <c r="L33" s="703">
        <f t="shared" si="5"/>
        <v>0</v>
      </c>
      <c r="M33" s="446">
        <v>1417</v>
      </c>
      <c r="N33" s="446"/>
      <c r="O33" s="703">
        <f t="shared" si="6"/>
        <v>1417</v>
      </c>
      <c r="P33" s="446">
        <v>24</v>
      </c>
      <c r="Q33" s="446">
        <v>-24</v>
      </c>
      <c r="R33" s="703">
        <f t="shared" si="7"/>
        <v>0</v>
      </c>
      <c r="S33" s="446">
        <v>3404</v>
      </c>
      <c r="T33" s="446"/>
      <c r="U33" s="703">
        <f t="shared" si="8"/>
        <v>3404</v>
      </c>
      <c r="V33" s="122">
        <v>194</v>
      </c>
      <c r="W33" s="446"/>
      <c r="X33" s="703">
        <f t="shared" si="9"/>
        <v>194</v>
      </c>
      <c r="Y33" s="446"/>
      <c r="Z33" s="446"/>
      <c r="AA33" s="703">
        <f t="shared" si="10"/>
        <v>0</v>
      </c>
      <c r="AB33" s="446">
        <v>0</v>
      </c>
      <c r="AC33" s="446"/>
      <c r="AD33" s="703">
        <f t="shared" si="11"/>
        <v>0</v>
      </c>
      <c r="AE33" s="446">
        <v>484</v>
      </c>
      <c r="AF33" s="446"/>
      <c r="AG33" s="1046">
        <f t="shared" si="12"/>
        <v>484</v>
      </c>
      <c r="AH33" s="446"/>
      <c r="AI33" s="446"/>
      <c r="AJ33" s="1042">
        <f t="shared" si="37"/>
        <v>0</v>
      </c>
    </row>
    <row r="34" spans="1:36" s="37" customFormat="1" ht="12.75" customHeight="1" x14ac:dyDescent="0.2">
      <c r="A34" s="503" t="s">
        <v>80</v>
      </c>
      <c r="B34" s="1240" t="s">
        <v>152</v>
      </c>
      <c r="C34" s="1225"/>
      <c r="D34" s="1056">
        <f t="shared" si="34"/>
        <v>87591</v>
      </c>
      <c r="E34" s="1057">
        <f t="shared" si="35"/>
        <v>-24</v>
      </c>
      <c r="F34" s="1058">
        <f t="shared" si="36"/>
        <v>87567</v>
      </c>
      <c r="G34" s="703">
        <f>SUM(G29:G33)</f>
        <v>24909</v>
      </c>
      <c r="H34" s="703">
        <f t="shared" ref="H34:AC34" si="76">SUM(H29:H33)</f>
        <v>0</v>
      </c>
      <c r="I34" s="703">
        <f t="shared" si="4"/>
        <v>24909</v>
      </c>
      <c r="J34" s="703">
        <f t="shared" ref="J34" si="77">SUM(J29:J33)</f>
        <v>0</v>
      </c>
      <c r="K34" s="703">
        <f t="shared" si="76"/>
        <v>0</v>
      </c>
      <c r="L34" s="703">
        <f t="shared" si="5"/>
        <v>0</v>
      </c>
      <c r="M34" s="703">
        <f t="shared" ref="M34" si="78">SUM(M29:M33)</f>
        <v>2236</v>
      </c>
      <c r="N34" s="703">
        <f t="shared" ref="N34" si="79">SUM(N29:N33)</f>
        <v>0</v>
      </c>
      <c r="O34" s="703">
        <f t="shared" si="6"/>
        <v>2236</v>
      </c>
      <c r="P34" s="703">
        <f t="shared" ref="P34" si="80">SUM(P29:P33)</f>
        <v>24</v>
      </c>
      <c r="Q34" s="703">
        <f t="shared" ref="Q34" si="81">SUM(Q29:Q33)</f>
        <v>-24</v>
      </c>
      <c r="R34" s="703">
        <f t="shared" si="7"/>
        <v>0</v>
      </c>
      <c r="S34" s="703">
        <f t="shared" ref="S34" si="82">SUM(S29:S33)</f>
        <v>45596</v>
      </c>
      <c r="T34" s="703">
        <f t="shared" ref="T34" si="83">SUM(T29:T33)</f>
        <v>0</v>
      </c>
      <c r="U34" s="703">
        <f t="shared" si="8"/>
        <v>45596</v>
      </c>
      <c r="V34" s="703">
        <f t="shared" ref="V34" si="84">SUM(V29:V33)</f>
        <v>314</v>
      </c>
      <c r="W34" s="703">
        <f t="shared" ref="W34" si="85">SUM(W29:W33)</f>
        <v>0</v>
      </c>
      <c r="X34" s="703">
        <f t="shared" si="9"/>
        <v>314</v>
      </c>
      <c r="Y34" s="703">
        <f t="shared" ref="Y34:Z34" si="86">SUM(Y29:Y33)</f>
        <v>0</v>
      </c>
      <c r="Z34" s="703">
        <f t="shared" si="86"/>
        <v>0</v>
      </c>
      <c r="AA34" s="703">
        <f t="shared" si="10"/>
        <v>0</v>
      </c>
      <c r="AB34" s="703">
        <f t="shared" ref="AB34" si="87">SUM(AB29:AB33)</f>
        <v>0</v>
      </c>
      <c r="AC34" s="703">
        <f t="shared" si="76"/>
        <v>0</v>
      </c>
      <c r="AD34" s="703">
        <f t="shared" si="11"/>
        <v>0</v>
      </c>
      <c r="AE34" s="703">
        <f t="shared" ref="AE34" si="88">SUM(AE29:AE33)</f>
        <v>14512</v>
      </c>
      <c r="AF34" s="703">
        <f>SUM(AF29:AF33)</f>
        <v>0</v>
      </c>
      <c r="AG34" s="1046">
        <f t="shared" si="12"/>
        <v>14512</v>
      </c>
      <c r="AH34" s="703">
        <f t="shared" ref="AH34" si="89">SUM(AH29:AH33)</f>
        <v>0</v>
      </c>
      <c r="AI34" s="703">
        <f>SUM(AI29:AI33)</f>
        <v>0</v>
      </c>
      <c r="AJ34" s="1042">
        <f t="shared" si="37"/>
        <v>0</v>
      </c>
    </row>
    <row r="35" spans="1:36" s="37" customFormat="1" ht="12.75" customHeight="1" x14ac:dyDescent="0.2">
      <c r="A35" s="503" t="s">
        <v>81</v>
      </c>
      <c r="B35" s="1240" t="s">
        <v>151</v>
      </c>
      <c r="C35" s="1225"/>
      <c r="D35" s="1056">
        <f t="shared" si="34"/>
        <v>94015</v>
      </c>
      <c r="E35" s="1057">
        <f t="shared" si="35"/>
        <v>154</v>
      </c>
      <c r="F35" s="1058">
        <f t="shared" si="36"/>
        <v>94169</v>
      </c>
      <c r="G35" s="969">
        <f t="shared" ref="G35" si="90">+G34+G28+G25+G17+G14</f>
        <v>25217</v>
      </c>
      <c r="H35" s="703">
        <f t="shared" ref="H35:AF35" si="91">+H34+H28+H25+H17+H14</f>
        <v>178</v>
      </c>
      <c r="I35" s="703">
        <f t="shared" si="4"/>
        <v>25395</v>
      </c>
      <c r="J35" s="703">
        <f t="shared" ref="J35" si="92">+J34+J28+J25+J17+J14</f>
        <v>0</v>
      </c>
      <c r="K35" s="703">
        <f>+K34+K28+K25+K17+K14</f>
        <v>0</v>
      </c>
      <c r="L35" s="703">
        <f t="shared" si="5"/>
        <v>0</v>
      </c>
      <c r="M35" s="969">
        <f t="shared" ref="M35" si="93">+M34+M28+M25+M17+M14</f>
        <v>8046</v>
      </c>
      <c r="N35" s="703">
        <f t="shared" si="91"/>
        <v>0</v>
      </c>
      <c r="O35" s="703">
        <f t="shared" si="6"/>
        <v>8046</v>
      </c>
      <c r="P35" s="703">
        <f t="shared" ref="P35" si="94">+P34+P28+P25+P17+P14</f>
        <v>24</v>
      </c>
      <c r="Q35" s="703">
        <f t="shared" ref="Q35" si="95">+Q34+Q28+Q25+Q17+Q14</f>
        <v>-24</v>
      </c>
      <c r="R35" s="703">
        <f t="shared" si="7"/>
        <v>0</v>
      </c>
      <c r="S35" s="969">
        <f t="shared" ref="S35" si="96">+S34+S28+S25+S17+S14</f>
        <v>45596</v>
      </c>
      <c r="T35" s="703">
        <f t="shared" ref="T35" si="97">+T34+T28+T25+T17+T14</f>
        <v>0</v>
      </c>
      <c r="U35" s="703">
        <f t="shared" si="8"/>
        <v>45596</v>
      </c>
      <c r="V35" s="969">
        <f t="shared" ref="V35" si="98">+V34+V28+V25+V17+V14</f>
        <v>394</v>
      </c>
      <c r="W35" s="703">
        <f t="shared" ref="W35" si="99">+W34+W28+W25+W17+W14</f>
        <v>0</v>
      </c>
      <c r="X35" s="703">
        <f t="shared" si="9"/>
        <v>394</v>
      </c>
      <c r="Y35" s="703">
        <f t="shared" ref="Y35:Z35" si="100">+Y34+Y28+Y25+Y17+Y14</f>
        <v>0</v>
      </c>
      <c r="Z35" s="703">
        <f t="shared" si="100"/>
        <v>0</v>
      </c>
      <c r="AA35" s="703">
        <f t="shared" si="10"/>
        <v>0</v>
      </c>
      <c r="AB35" s="703">
        <f t="shared" ref="AB35" si="101">+AB34+AB28+AB25+AB17+AB14</f>
        <v>0</v>
      </c>
      <c r="AC35" s="703">
        <f t="shared" si="91"/>
        <v>0</v>
      </c>
      <c r="AD35" s="703">
        <f t="shared" si="11"/>
        <v>0</v>
      </c>
      <c r="AE35" s="969">
        <f t="shared" ref="AE35" si="102">+AE34+AE28+AE25+AE17+AE14</f>
        <v>14738</v>
      </c>
      <c r="AF35" s="703">
        <f t="shared" si="91"/>
        <v>0</v>
      </c>
      <c r="AG35" s="1046">
        <f t="shared" si="12"/>
        <v>14738</v>
      </c>
      <c r="AH35" s="969">
        <f t="shared" ref="AH35" si="103">+AH34+AH28+AH25+AH17+AH14</f>
        <v>0</v>
      </c>
      <c r="AI35" s="703">
        <f t="shared" ref="AI35" si="104">+AI34+AI28+AI25+AI17+AI14</f>
        <v>0</v>
      </c>
      <c r="AJ35" s="1042">
        <f t="shared" si="37"/>
        <v>0</v>
      </c>
    </row>
    <row r="36" spans="1:36" ht="12" customHeight="1" x14ac:dyDescent="0.2">
      <c r="A36" s="504"/>
      <c r="B36" s="1275"/>
      <c r="C36" s="1276"/>
      <c r="D36" s="1059"/>
      <c r="E36" s="1059"/>
      <c r="F36" s="1060"/>
      <c r="G36" s="1061"/>
      <c r="H36" s="600"/>
      <c r="I36" s="804"/>
      <c r="J36" s="600"/>
      <c r="K36" s="600"/>
      <c r="L36" s="804"/>
      <c r="M36" s="1061"/>
      <c r="N36" s="600"/>
      <c r="O36" s="804"/>
      <c r="P36" s="600"/>
      <c r="Q36" s="600"/>
      <c r="R36" s="804"/>
      <c r="S36" s="1061"/>
      <c r="T36" s="600"/>
      <c r="U36" s="804"/>
      <c r="V36" s="1064"/>
      <c r="W36" s="600"/>
      <c r="X36" s="804"/>
      <c r="Y36" s="600"/>
      <c r="Z36" s="600"/>
      <c r="AA36" s="804"/>
      <c r="AB36" s="600"/>
      <c r="AC36" s="600"/>
      <c r="AD36" s="804"/>
      <c r="AE36" s="1061"/>
      <c r="AF36" s="600"/>
      <c r="AG36" s="804"/>
      <c r="AH36" s="1047"/>
      <c r="AI36" s="600"/>
      <c r="AJ36" s="1043"/>
    </row>
    <row r="37" spans="1:36" ht="12.75" hidden="1" customHeight="1" x14ac:dyDescent="0.2">
      <c r="A37" s="505" t="s">
        <v>96</v>
      </c>
      <c r="B37" s="1245" t="s">
        <v>95</v>
      </c>
      <c r="C37" s="1280"/>
      <c r="D37" s="1056">
        <f t="shared" ref="D37:D43" si="105">+G37+J37+AB37+AE37+M37+V37+Y37+P37+S37+AH37</f>
        <v>0</v>
      </c>
      <c r="E37" s="1057">
        <f t="shared" ref="E37:E43" si="106">+H37+K37+AC37+AF37+N37+W37+Z37+Q37+T37+AI37</f>
        <v>0</v>
      </c>
      <c r="F37" s="1058">
        <f t="shared" ref="F37:F43" si="107">+I37+L37+AD37+AG37+O37+X37+AA37+R37+U37+AJ37</f>
        <v>0</v>
      </c>
      <c r="G37" s="446"/>
      <c r="H37" s="446"/>
      <c r="I37" s="703">
        <f t="shared" si="4"/>
        <v>0</v>
      </c>
      <c r="J37" s="446"/>
      <c r="K37" s="446"/>
      <c r="L37" s="703">
        <f t="shared" si="5"/>
        <v>0</v>
      </c>
      <c r="M37" s="446"/>
      <c r="N37" s="446"/>
      <c r="O37" s="703">
        <f t="shared" si="6"/>
        <v>0</v>
      </c>
      <c r="P37" s="446"/>
      <c r="Q37" s="446"/>
      <c r="R37" s="703">
        <f t="shared" si="7"/>
        <v>0</v>
      </c>
      <c r="S37" s="446"/>
      <c r="T37" s="446"/>
      <c r="U37" s="703">
        <f t="shared" si="8"/>
        <v>0</v>
      </c>
      <c r="V37" s="122"/>
      <c r="W37" s="446"/>
      <c r="X37" s="703">
        <f t="shared" si="9"/>
        <v>0</v>
      </c>
      <c r="Y37" s="446"/>
      <c r="Z37" s="446"/>
      <c r="AA37" s="703">
        <f t="shared" si="10"/>
        <v>0</v>
      </c>
      <c r="AB37" s="446"/>
      <c r="AC37" s="446"/>
      <c r="AD37" s="703">
        <f t="shared" si="11"/>
        <v>0</v>
      </c>
      <c r="AE37" s="446"/>
      <c r="AF37" s="446"/>
      <c r="AG37" s="1046">
        <f t="shared" si="12"/>
        <v>0</v>
      </c>
      <c r="AH37" s="446"/>
      <c r="AI37" s="446"/>
      <c r="AJ37" s="1042">
        <f t="shared" ref="AJ37:AJ52" si="108">+AI37+AH37</f>
        <v>0</v>
      </c>
    </row>
    <row r="38" spans="1:36" ht="12.75" hidden="1" customHeight="1" x14ac:dyDescent="0.2">
      <c r="A38" s="505" t="s">
        <v>98</v>
      </c>
      <c r="B38" s="1245" t="s">
        <v>97</v>
      </c>
      <c r="C38" s="1280"/>
      <c r="D38" s="1056">
        <f t="shared" si="105"/>
        <v>0</v>
      </c>
      <c r="E38" s="1057">
        <f t="shared" si="106"/>
        <v>0</v>
      </c>
      <c r="F38" s="1058">
        <f t="shared" si="107"/>
        <v>0</v>
      </c>
      <c r="G38" s="446"/>
      <c r="H38" s="446"/>
      <c r="I38" s="703">
        <f t="shared" si="4"/>
        <v>0</v>
      </c>
      <c r="J38" s="446"/>
      <c r="K38" s="446"/>
      <c r="L38" s="703">
        <f t="shared" si="5"/>
        <v>0</v>
      </c>
      <c r="M38" s="446"/>
      <c r="N38" s="446"/>
      <c r="O38" s="703">
        <f t="shared" si="6"/>
        <v>0</v>
      </c>
      <c r="P38" s="446"/>
      <c r="Q38" s="446"/>
      <c r="R38" s="703">
        <f t="shared" si="7"/>
        <v>0</v>
      </c>
      <c r="S38" s="446"/>
      <c r="T38" s="446"/>
      <c r="U38" s="703">
        <f t="shared" si="8"/>
        <v>0</v>
      </c>
      <c r="V38" s="122"/>
      <c r="W38" s="446"/>
      <c r="X38" s="703">
        <f t="shared" si="9"/>
        <v>0</v>
      </c>
      <c r="Y38" s="446"/>
      <c r="Z38" s="446"/>
      <c r="AA38" s="703">
        <f t="shared" si="10"/>
        <v>0</v>
      </c>
      <c r="AB38" s="446"/>
      <c r="AC38" s="446"/>
      <c r="AD38" s="703">
        <f t="shared" si="11"/>
        <v>0</v>
      </c>
      <c r="AE38" s="446"/>
      <c r="AF38" s="446"/>
      <c r="AG38" s="1046">
        <f t="shared" si="12"/>
        <v>0</v>
      </c>
      <c r="AH38" s="446"/>
      <c r="AI38" s="446"/>
      <c r="AJ38" s="1042">
        <f t="shared" si="108"/>
        <v>0</v>
      </c>
    </row>
    <row r="39" spans="1:36" ht="23.25" hidden="1" customHeight="1" x14ac:dyDescent="0.2">
      <c r="A39" s="505" t="s">
        <v>101</v>
      </c>
      <c r="B39" s="1245" t="s">
        <v>165</v>
      </c>
      <c r="C39" s="1280"/>
      <c r="D39" s="1056">
        <f t="shared" si="105"/>
        <v>0</v>
      </c>
      <c r="E39" s="1057">
        <f t="shared" si="106"/>
        <v>0</v>
      </c>
      <c r="F39" s="1058">
        <f t="shared" si="107"/>
        <v>0</v>
      </c>
      <c r="G39" s="446"/>
      <c r="H39" s="446"/>
      <c r="I39" s="703">
        <f t="shared" si="4"/>
        <v>0</v>
      </c>
      <c r="J39" s="446"/>
      <c r="K39" s="446"/>
      <c r="L39" s="703">
        <f t="shared" si="5"/>
        <v>0</v>
      </c>
      <c r="M39" s="446"/>
      <c r="N39" s="446"/>
      <c r="O39" s="703">
        <f t="shared" si="6"/>
        <v>0</v>
      </c>
      <c r="P39" s="446"/>
      <c r="Q39" s="446"/>
      <c r="R39" s="703">
        <f t="shared" si="7"/>
        <v>0</v>
      </c>
      <c r="S39" s="446"/>
      <c r="T39" s="446"/>
      <c r="U39" s="703">
        <f t="shared" si="8"/>
        <v>0</v>
      </c>
      <c r="V39" s="122"/>
      <c r="W39" s="446"/>
      <c r="X39" s="703">
        <f t="shared" si="9"/>
        <v>0</v>
      </c>
      <c r="Y39" s="446"/>
      <c r="Z39" s="446"/>
      <c r="AA39" s="703">
        <f t="shared" si="10"/>
        <v>0</v>
      </c>
      <c r="AB39" s="446"/>
      <c r="AC39" s="446"/>
      <c r="AD39" s="703">
        <f t="shared" si="11"/>
        <v>0</v>
      </c>
      <c r="AE39" s="446"/>
      <c r="AF39" s="446"/>
      <c r="AG39" s="1046">
        <f t="shared" si="12"/>
        <v>0</v>
      </c>
      <c r="AH39" s="446"/>
      <c r="AI39" s="446"/>
      <c r="AJ39" s="1042">
        <f t="shared" si="108"/>
        <v>0</v>
      </c>
    </row>
    <row r="40" spans="1:36" ht="25.5" hidden="1" customHeight="1" x14ac:dyDescent="0.2">
      <c r="A40" s="505" t="s">
        <v>103</v>
      </c>
      <c r="B40" s="1245" t="s">
        <v>102</v>
      </c>
      <c r="C40" s="1280"/>
      <c r="D40" s="1056">
        <f t="shared" si="105"/>
        <v>0</v>
      </c>
      <c r="E40" s="1057">
        <f t="shared" si="106"/>
        <v>0</v>
      </c>
      <c r="F40" s="1058">
        <f t="shared" si="107"/>
        <v>0</v>
      </c>
      <c r="G40" s="446"/>
      <c r="H40" s="446"/>
      <c r="I40" s="703">
        <f t="shared" si="4"/>
        <v>0</v>
      </c>
      <c r="J40" s="446"/>
      <c r="K40" s="446"/>
      <c r="L40" s="703">
        <f t="shared" si="5"/>
        <v>0</v>
      </c>
      <c r="M40" s="446"/>
      <c r="N40" s="446"/>
      <c r="O40" s="703">
        <f t="shared" si="6"/>
        <v>0</v>
      </c>
      <c r="P40" s="446"/>
      <c r="Q40" s="446"/>
      <c r="R40" s="703">
        <f t="shared" si="7"/>
        <v>0</v>
      </c>
      <c r="S40" s="446"/>
      <c r="T40" s="446"/>
      <c r="U40" s="703">
        <f t="shared" si="8"/>
        <v>0</v>
      </c>
      <c r="V40" s="122"/>
      <c r="W40" s="446"/>
      <c r="X40" s="703">
        <f t="shared" si="9"/>
        <v>0</v>
      </c>
      <c r="Y40" s="446"/>
      <c r="Z40" s="446"/>
      <c r="AA40" s="703">
        <f t="shared" si="10"/>
        <v>0</v>
      </c>
      <c r="AB40" s="446"/>
      <c r="AC40" s="446"/>
      <c r="AD40" s="703">
        <f t="shared" si="11"/>
        <v>0</v>
      </c>
      <c r="AE40" s="446"/>
      <c r="AF40" s="446"/>
      <c r="AG40" s="1046">
        <f t="shared" si="12"/>
        <v>0</v>
      </c>
      <c r="AH40" s="446"/>
      <c r="AI40" s="446"/>
      <c r="AJ40" s="1042">
        <f t="shared" si="108"/>
        <v>0</v>
      </c>
    </row>
    <row r="41" spans="1:36" ht="27" hidden="1" customHeight="1" x14ac:dyDescent="0.2">
      <c r="A41" s="505" t="s">
        <v>107</v>
      </c>
      <c r="B41" s="1245" t="s">
        <v>164</v>
      </c>
      <c r="C41" s="1280"/>
      <c r="D41" s="1056">
        <f t="shared" si="105"/>
        <v>0</v>
      </c>
      <c r="E41" s="1057">
        <f t="shared" si="106"/>
        <v>0</v>
      </c>
      <c r="F41" s="1058">
        <f t="shared" si="107"/>
        <v>0</v>
      </c>
      <c r="G41" s="446"/>
      <c r="H41" s="446"/>
      <c r="I41" s="703">
        <f t="shared" si="4"/>
        <v>0</v>
      </c>
      <c r="J41" s="446"/>
      <c r="K41" s="446"/>
      <c r="L41" s="703">
        <f t="shared" si="5"/>
        <v>0</v>
      </c>
      <c r="M41" s="446"/>
      <c r="N41" s="446"/>
      <c r="O41" s="703">
        <f t="shared" si="6"/>
        <v>0</v>
      </c>
      <c r="P41" s="446"/>
      <c r="Q41" s="446"/>
      <c r="R41" s="703">
        <f t="shared" si="7"/>
        <v>0</v>
      </c>
      <c r="S41" s="446"/>
      <c r="T41" s="446"/>
      <c r="U41" s="703">
        <f t="shared" si="8"/>
        <v>0</v>
      </c>
      <c r="V41" s="122"/>
      <c r="W41" s="446"/>
      <c r="X41" s="703">
        <f t="shared" si="9"/>
        <v>0</v>
      </c>
      <c r="Y41" s="446"/>
      <c r="Z41" s="446"/>
      <c r="AA41" s="703">
        <f t="shared" si="10"/>
        <v>0</v>
      </c>
      <c r="AB41" s="446"/>
      <c r="AC41" s="446"/>
      <c r="AD41" s="703">
        <f t="shared" si="11"/>
        <v>0</v>
      </c>
      <c r="AE41" s="446"/>
      <c r="AF41" s="446"/>
      <c r="AG41" s="1046">
        <f t="shared" si="12"/>
        <v>0</v>
      </c>
      <c r="AH41" s="446"/>
      <c r="AI41" s="446"/>
      <c r="AJ41" s="1042">
        <f t="shared" si="108"/>
        <v>0</v>
      </c>
    </row>
    <row r="42" spans="1:36" ht="12.75" hidden="1" customHeight="1" x14ac:dyDescent="0.2">
      <c r="A42" s="505" t="s">
        <v>602</v>
      </c>
      <c r="B42" s="1236" t="s">
        <v>106</v>
      </c>
      <c r="C42" s="1235"/>
      <c r="D42" s="1056">
        <f t="shared" si="105"/>
        <v>0</v>
      </c>
      <c r="E42" s="1057">
        <f t="shared" si="106"/>
        <v>0</v>
      </c>
      <c r="F42" s="1058">
        <f t="shared" si="107"/>
        <v>0</v>
      </c>
      <c r="G42" s="446"/>
      <c r="H42" s="446"/>
      <c r="I42" s="703">
        <f t="shared" si="4"/>
        <v>0</v>
      </c>
      <c r="J42" s="446"/>
      <c r="K42" s="446"/>
      <c r="L42" s="703">
        <f t="shared" si="5"/>
        <v>0</v>
      </c>
      <c r="M42" s="446"/>
      <c r="N42" s="446"/>
      <c r="O42" s="703">
        <f t="shared" si="6"/>
        <v>0</v>
      </c>
      <c r="P42" s="446"/>
      <c r="Q42" s="446"/>
      <c r="R42" s="703">
        <f t="shared" si="7"/>
        <v>0</v>
      </c>
      <c r="S42" s="446"/>
      <c r="T42" s="446"/>
      <c r="U42" s="703">
        <f t="shared" si="8"/>
        <v>0</v>
      </c>
      <c r="V42" s="122"/>
      <c r="W42" s="446"/>
      <c r="X42" s="703">
        <f t="shared" si="9"/>
        <v>0</v>
      </c>
      <c r="Y42" s="446"/>
      <c r="Z42" s="446"/>
      <c r="AA42" s="703">
        <f t="shared" si="10"/>
        <v>0</v>
      </c>
      <c r="AB42" s="446"/>
      <c r="AC42" s="446"/>
      <c r="AD42" s="703">
        <f t="shared" si="11"/>
        <v>0</v>
      </c>
      <c r="AE42" s="446"/>
      <c r="AF42" s="446"/>
      <c r="AG42" s="1046">
        <f t="shared" si="12"/>
        <v>0</v>
      </c>
      <c r="AH42" s="446"/>
      <c r="AI42" s="446"/>
      <c r="AJ42" s="1042">
        <f t="shared" si="108"/>
        <v>0</v>
      </c>
    </row>
    <row r="43" spans="1:36" s="37" customFormat="1" ht="12.75" customHeight="1" x14ac:dyDescent="0.2">
      <c r="A43" s="503" t="s">
        <v>108</v>
      </c>
      <c r="B43" s="1240" t="s">
        <v>163</v>
      </c>
      <c r="C43" s="1225"/>
      <c r="D43" s="1056">
        <f t="shared" si="105"/>
        <v>0</v>
      </c>
      <c r="E43" s="1057">
        <f t="shared" si="106"/>
        <v>0</v>
      </c>
      <c r="F43" s="1058">
        <f t="shared" si="107"/>
        <v>0</v>
      </c>
      <c r="G43" s="703"/>
      <c r="H43" s="703"/>
      <c r="I43" s="703">
        <f t="shared" si="4"/>
        <v>0</v>
      </c>
      <c r="J43" s="703"/>
      <c r="K43" s="703"/>
      <c r="L43" s="703">
        <f t="shared" si="5"/>
        <v>0</v>
      </c>
      <c r="M43" s="703"/>
      <c r="N43" s="703"/>
      <c r="O43" s="703">
        <f t="shared" si="6"/>
        <v>0</v>
      </c>
      <c r="P43" s="703"/>
      <c r="Q43" s="703"/>
      <c r="R43" s="703">
        <f t="shared" si="7"/>
        <v>0</v>
      </c>
      <c r="S43" s="703"/>
      <c r="T43" s="703"/>
      <c r="U43" s="703">
        <f t="shared" si="8"/>
        <v>0</v>
      </c>
      <c r="V43" s="134"/>
      <c r="W43" s="703"/>
      <c r="X43" s="703">
        <f t="shared" si="9"/>
        <v>0</v>
      </c>
      <c r="Y43" s="703"/>
      <c r="Z43" s="703"/>
      <c r="AA43" s="703">
        <f t="shared" si="10"/>
        <v>0</v>
      </c>
      <c r="AB43" s="703"/>
      <c r="AC43" s="703"/>
      <c r="AD43" s="703">
        <f t="shared" si="11"/>
        <v>0</v>
      </c>
      <c r="AE43" s="703"/>
      <c r="AF43" s="703"/>
      <c r="AG43" s="1046">
        <f t="shared" si="12"/>
        <v>0</v>
      </c>
      <c r="AH43" s="703"/>
      <c r="AI43" s="703"/>
      <c r="AJ43" s="1042">
        <f t="shared" si="108"/>
        <v>0</v>
      </c>
    </row>
    <row r="44" spans="1:36" ht="12" customHeight="1" x14ac:dyDescent="0.2">
      <c r="A44" s="504"/>
      <c r="B44" s="695"/>
      <c r="C44" s="985"/>
      <c r="D44" s="1059"/>
      <c r="E44" s="1059"/>
      <c r="F44" s="1060"/>
      <c r="G44" s="1061"/>
      <c r="H44" s="600"/>
      <c r="I44" s="804">
        <f t="shared" si="4"/>
        <v>0</v>
      </c>
      <c r="J44" s="600"/>
      <c r="K44" s="600"/>
      <c r="L44" s="804">
        <f t="shared" si="5"/>
        <v>0</v>
      </c>
      <c r="M44" s="1061"/>
      <c r="N44" s="600"/>
      <c r="O44" s="804">
        <f t="shared" si="6"/>
        <v>0</v>
      </c>
      <c r="P44" s="600"/>
      <c r="Q44" s="600"/>
      <c r="R44" s="804">
        <f t="shared" si="7"/>
        <v>0</v>
      </c>
      <c r="S44" s="1061"/>
      <c r="T44" s="600"/>
      <c r="U44" s="804">
        <f t="shared" si="8"/>
        <v>0</v>
      </c>
      <c r="V44" s="1064"/>
      <c r="W44" s="600"/>
      <c r="X44" s="804">
        <f t="shared" si="9"/>
        <v>0</v>
      </c>
      <c r="Y44" s="600"/>
      <c r="Z44" s="600"/>
      <c r="AA44" s="804">
        <f t="shared" si="10"/>
        <v>0</v>
      </c>
      <c r="AB44" s="600"/>
      <c r="AC44" s="600"/>
      <c r="AD44" s="804">
        <f t="shared" si="11"/>
        <v>0</v>
      </c>
      <c r="AE44" s="1061"/>
      <c r="AF44" s="600"/>
      <c r="AG44" s="804">
        <f t="shared" si="12"/>
        <v>0</v>
      </c>
      <c r="AH44" s="1047"/>
      <c r="AI44" s="600"/>
      <c r="AJ44" s="1043">
        <f t="shared" si="108"/>
        <v>0</v>
      </c>
    </row>
    <row r="45" spans="1:36" ht="12.75" customHeight="1" x14ac:dyDescent="0.2">
      <c r="A45" s="505" t="s">
        <v>110</v>
      </c>
      <c r="B45" s="1236" t="s">
        <v>109</v>
      </c>
      <c r="C45" s="1235"/>
      <c r="D45" s="1056">
        <f t="shared" ref="D45:D52" si="109">+G45+J45+AB45+AE45+M45+V45+Y45+P45+S45+AH45</f>
        <v>338</v>
      </c>
      <c r="E45" s="1057">
        <f t="shared" ref="E45:E52" si="110">+H45+K45+AC45+AF45+N45+W45+Z45+Q45+T45+AI45</f>
        <v>0</v>
      </c>
      <c r="F45" s="1058">
        <f t="shared" ref="F45:F52" si="111">+I45+L45+AD45+AG45+O45+X45+AA45+R45+U45+AJ45</f>
        <v>338</v>
      </c>
      <c r="G45" s="1062"/>
      <c r="H45" s="446"/>
      <c r="I45" s="703">
        <f t="shared" si="4"/>
        <v>0</v>
      </c>
      <c r="J45" s="446"/>
      <c r="K45" s="446"/>
      <c r="L45" s="703">
        <f t="shared" si="5"/>
        <v>0</v>
      </c>
      <c r="M45" s="1062">
        <v>338</v>
      </c>
      <c r="N45" s="446"/>
      <c r="O45" s="703">
        <f t="shared" si="6"/>
        <v>338</v>
      </c>
      <c r="P45" s="446"/>
      <c r="Q45" s="446"/>
      <c r="R45" s="703">
        <f t="shared" si="7"/>
        <v>0</v>
      </c>
      <c r="S45" s="1062"/>
      <c r="T45" s="446"/>
      <c r="U45" s="703">
        <f t="shared" si="8"/>
        <v>0</v>
      </c>
      <c r="V45" s="1065"/>
      <c r="W45" s="446"/>
      <c r="X45" s="703">
        <f t="shared" si="9"/>
        <v>0</v>
      </c>
      <c r="Y45" s="446"/>
      <c r="Z45" s="446"/>
      <c r="AA45" s="703">
        <f t="shared" si="10"/>
        <v>0</v>
      </c>
      <c r="AB45" s="446"/>
      <c r="AC45" s="446"/>
      <c r="AD45" s="703">
        <f t="shared" si="11"/>
        <v>0</v>
      </c>
      <c r="AE45" s="1062"/>
      <c r="AF45" s="446"/>
      <c r="AG45" s="1046">
        <f t="shared" si="12"/>
        <v>0</v>
      </c>
      <c r="AH45" s="446"/>
      <c r="AI45" s="446"/>
      <c r="AJ45" s="1042">
        <f t="shared" si="108"/>
        <v>0</v>
      </c>
    </row>
    <row r="46" spans="1:36" ht="12.75" customHeight="1" x14ac:dyDescent="0.2">
      <c r="A46" s="505" t="s">
        <v>111</v>
      </c>
      <c r="B46" s="1236" t="s">
        <v>162</v>
      </c>
      <c r="C46" s="1235"/>
      <c r="D46" s="1056">
        <f t="shared" si="109"/>
        <v>184496</v>
      </c>
      <c r="E46" s="1057">
        <f t="shared" si="110"/>
        <v>0</v>
      </c>
      <c r="F46" s="1058">
        <f t="shared" si="111"/>
        <v>184496</v>
      </c>
      <c r="G46" s="446">
        <v>17022</v>
      </c>
      <c r="H46" s="446"/>
      <c r="I46" s="703">
        <f t="shared" si="4"/>
        <v>17022</v>
      </c>
      <c r="J46" s="446">
        <v>669</v>
      </c>
      <c r="K46" s="446"/>
      <c r="L46" s="703">
        <f t="shared" si="5"/>
        <v>669</v>
      </c>
      <c r="M46" s="446"/>
      <c r="N46" s="446"/>
      <c r="O46" s="703">
        <f t="shared" si="6"/>
        <v>0</v>
      </c>
      <c r="P46" s="446"/>
      <c r="Q46" s="446"/>
      <c r="R46" s="703">
        <f t="shared" si="7"/>
        <v>0</v>
      </c>
      <c r="S46" s="446">
        <v>153751</v>
      </c>
      <c r="T46" s="446"/>
      <c r="U46" s="703">
        <f t="shared" si="8"/>
        <v>153751</v>
      </c>
      <c r="V46" s="122"/>
      <c r="W46" s="446"/>
      <c r="X46" s="703">
        <f t="shared" si="9"/>
        <v>0</v>
      </c>
      <c r="Y46" s="446"/>
      <c r="Z46" s="446"/>
      <c r="AA46" s="703">
        <f t="shared" si="10"/>
        <v>0</v>
      </c>
      <c r="AB46" s="446">
        <v>0</v>
      </c>
      <c r="AC46" s="446"/>
      <c r="AD46" s="703">
        <f t="shared" si="11"/>
        <v>0</v>
      </c>
      <c r="AE46" s="446">
        <v>13054</v>
      </c>
      <c r="AF46" s="446"/>
      <c r="AG46" s="1046">
        <f t="shared" si="12"/>
        <v>13054</v>
      </c>
      <c r="AH46" s="446"/>
      <c r="AI46" s="446"/>
      <c r="AJ46" s="1042">
        <f t="shared" si="108"/>
        <v>0</v>
      </c>
    </row>
    <row r="47" spans="1:36" ht="12.75" customHeight="1" x14ac:dyDescent="0.2">
      <c r="A47" s="505" t="s">
        <v>114</v>
      </c>
      <c r="B47" s="1236" t="s">
        <v>113</v>
      </c>
      <c r="C47" s="1235"/>
      <c r="D47" s="1056">
        <f t="shared" si="109"/>
        <v>1835</v>
      </c>
      <c r="E47" s="1057">
        <f t="shared" si="110"/>
        <v>0</v>
      </c>
      <c r="F47" s="1058">
        <f t="shared" si="111"/>
        <v>1835</v>
      </c>
      <c r="G47" s="446">
        <v>1835</v>
      </c>
      <c r="H47" s="446"/>
      <c r="I47" s="703">
        <f t="shared" si="4"/>
        <v>1835</v>
      </c>
      <c r="J47" s="446"/>
      <c r="K47" s="446"/>
      <c r="L47" s="703">
        <f t="shared" si="5"/>
        <v>0</v>
      </c>
      <c r="M47" s="446"/>
      <c r="N47" s="446"/>
      <c r="O47" s="703">
        <f t="shared" si="6"/>
        <v>0</v>
      </c>
      <c r="P47" s="446"/>
      <c r="Q47" s="446"/>
      <c r="R47" s="703">
        <f t="shared" si="7"/>
        <v>0</v>
      </c>
      <c r="S47" s="446"/>
      <c r="T47" s="446"/>
      <c r="U47" s="703">
        <f t="shared" si="8"/>
        <v>0</v>
      </c>
      <c r="V47" s="122"/>
      <c r="W47" s="446"/>
      <c r="X47" s="703">
        <f t="shared" si="9"/>
        <v>0</v>
      </c>
      <c r="Y47" s="446"/>
      <c r="Z47" s="446"/>
      <c r="AA47" s="703">
        <f t="shared" si="10"/>
        <v>0</v>
      </c>
      <c r="AB47" s="446"/>
      <c r="AC47" s="446"/>
      <c r="AD47" s="703">
        <f t="shared" si="11"/>
        <v>0</v>
      </c>
      <c r="AE47" s="446"/>
      <c r="AF47" s="446"/>
      <c r="AG47" s="1046">
        <f t="shared" si="12"/>
        <v>0</v>
      </c>
      <c r="AH47" s="446"/>
      <c r="AI47" s="446"/>
      <c r="AJ47" s="1042">
        <f t="shared" si="108"/>
        <v>0</v>
      </c>
    </row>
    <row r="48" spans="1:36" ht="12.75" customHeight="1" x14ac:dyDescent="0.2">
      <c r="A48" s="505" t="s">
        <v>116</v>
      </c>
      <c r="B48" s="1236" t="s">
        <v>115</v>
      </c>
      <c r="C48" s="1235"/>
      <c r="D48" s="1056">
        <f t="shared" si="109"/>
        <v>28470</v>
      </c>
      <c r="E48" s="1057">
        <f t="shared" si="110"/>
        <v>0</v>
      </c>
      <c r="F48" s="1058">
        <f t="shared" si="111"/>
        <v>28470</v>
      </c>
      <c r="G48" s="446">
        <v>12479</v>
      </c>
      <c r="H48" s="446"/>
      <c r="I48" s="703">
        <f t="shared" si="4"/>
        <v>12479</v>
      </c>
      <c r="J48" s="446"/>
      <c r="K48" s="446"/>
      <c r="L48" s="703">
        <f t="shared" si="5"/>
        <v>0</v>
      </c>
      <c r="M48" s="446">
        <v>959</v>
      </c>
      <c r="N48" s="446"/>
      <c r="O48" s="703">
        <f t="shared" si="6"/>
        <v>959</v>
      </c>
      <c r="P48" s="446"/>
      <c r="Q48" s="446"/>
      <c r="R48" s="703">
        <f t="shared" si="7"/>
        <v>0</v>
      </c>
      <c r="S48" s="446">
        <v>14900</v>
      </c>
      <c r="T48" s="446"/>
      <c r="U48" s="703">
        <f t="shared" si="8"/>
        <v>14900</v>
      </c>
      <c r="V48" s="122">
        <v>132</v>
      </c>
      <c r="W48" s="446"/>
      <c r="X48" s="703">
        <f t="shared" si="9"/>
        <v>132</v>
      </c>
      <c r="Y48" s="446"/>
      <c r="Z48" s="446"/>
      <c r="AA48" s="703">
        <f t="shared" si="10"/>
        <v>0</v>
      </c>
      <c r="AB48" s="446"/>
      <c r="AC48" s="446"/>
      <c r="AD48" s="703">
        <f t="shared" si="11"/>
        <v>0</v>
      </c>
      <c r="AE48" s="446"/>
      <c r="AF48" s="446"/>
      <c r="AG48" s="1046">
        <f t="shared" si="12"/>
        <v>0</v>
      </c>
      <c r="AH48" s="446"/>
      <c r="AI48" s="446"/>
      <c r="AJ48" s="1042">
        <f t="shared" si="108"/>
        <v>0</v>
      </c>
    </row>
    <row r="49" spans="1:36" ht="12.75" customHeight="1" x14ac:dyDescent="0.2">
      <c r="A49" s="505" t="s">
        <v>118</v>
      </c>
      <c r="B49" s="1236" t="s">
        <v>117</v>
      </c>
      <c r="C49" s="1235"/>
      <c r="D49" s="1056">
        <f t="shared" si="109"/>
        <v>0</v>
      </c>
      <c r="E49" s="1057">
        <f t="shared" si="110"/>
        <v>0</v>
      </c>
      <c r="F49" s="1058">
        <f t="shared" si="111"/>
        <v>0</v>
      </c>
      <c r="G49" s="446"/>
      <c r="H49" s="446"/>
      <c r="I49" s="703">
        <f t="shared" si="4"/>
        <v>0</v>
      </c>
      <c r="J49" s="446"/>
      <c r="K49" s="446"/>
      <c r="L49" s="703">
        <f t="shared" si="5"/>
        <v>0</v>
      </c>
      <c r="M49" s="446"/>
      <c r="N49" s="446"/>
      <c r="O49" s="703">
        <f t="shared" si="6"/>
        <v>0</v>
      </c>
      <c r="P49" s="446"/>
      <c r="Q49" s="446"/>
      <c r="R49" s="703">
        <f t="shared" si="7"/>
        <v>0</v>
      </c>
      <c r="S49" s="446"/>
      <c r="T49" s="446"/>
      <c r="U49" s="703">
        <f t="shared" si="8"/>
        <v>0</v>
      </c>
      <c r="V49" s="122"/>
      <c r="W49" s="446"/>
      <c r="X49" s="703">
        <f t="shared" si="9"/>
        <v>0</v>
      </c>
      <c r="Y49" s="446"/>
      <c r="Z49" s="446"/>
      <c r="AA49" s="703">
        <f t="shared" si="10"/>
        <v>0</v>
      </c>
      <c r="AB49" s="446"/>
      <c r="AC49" s="446"/>
      <c r="AD49" s="703">
        <f t="shared" si="11"/>
        <v>0</v>
      </c>
      <c r="AE49" s="446"/>
      <c r="AF49" s="446"/>
      <c r="AG49" s="1046">
        <f t="shared" si="12"/>
        <v>0</v>
      </c>
      <c r="AH49" s="446"/>
      <c r="AI49" s="446"/>
      <c r="AJ49" s="1042">
        <f t="shared" si="108"/>
        <v>0</v>
      </c>
    </row>
    <row r="50" spans="1:36" ht="12.75" customHeight="1" x14ac:dyDescent="0.2">
      <c r="A50" s="505" t="s">
        <v>120</v>
      </c>
      <c r="B50" s="1236" t="s">
        <v>119</v>
      </c>
      <c r="C50" s="1235"/>
      <c r="D50" s="1056">
        <f t="shared" si="109"/>
        <v>0</v>
      </c>
      <c r="E50" s="1057">
        <f t="shared" si="110"/>
        <v>0</v>
      </c>
      <c r="F50" s="1058">
        <f t="shared" si="111"/>
        <v>0</v>
      </c>
      <c r="G50" s="446"/>
      <c r="H50" s="446"/>
      <c r="I50" s="703">
        <f t="shared" si="4"/>
        <v>0</v>
      </c>
      <c r="J50" s="446"/>
      <c r="K50" s="446"/>
      <c r="L50" s="703">
        <f t="shared" si="5"/>
        <v>0</v>
      </c>
      <c r="M50" s="446"/>
      <c r="N50" s="446"/>
      <c r="O50" s="703">
        <f t="shared" si="6"/>
        <v>0</v>
      </c>
      <c r="P50" s="446"/>
      <c r="Q50" s="446"/>
      <c r="R50" s="703">
        <f t="shared" si="7"/>
        <v>0</v>
      </c>
      <c r="S50" s="446"/>
      <c r="T50" s="446"/>
      <c r="U50" s="703">
        <f t="shared" si="8"/>
        <v>0</v>
      </c>
      <c r="V50" s="122"/>
      <c r="W50" s="446"/>
      <c r="X50" s="703">
        <f t="shared" si="9"/>
        <v>0</v>
      </c>
      <c r="Y50" s="446"/>
      <c r="Z50" s="446"/>
      <c r="AA50" s="703">
        <f t="shared" si="10"/>
        <v>0</v>
      </c>
      <c r="AB50" s="446"/>
      <c r="AC50" s="446"/>
      <c r="AD50" s="703">
        <f t="shared" si="11"/>
        <v>0</v>
      </c>
      <c r="AE50" s="446"/>
      <c r="AF50" s="446"/>
      <c r="AG50" s="1046">
        <f t="shared" si="12"/>
        <v>0</v>
      </c>
      <c r="AH50" s="446"/>
      <c r="AI50" s="446"/>
      <c r="AJ50" s="1042">
        <f t="shared" si="108"/>
        <v>0</v>
      </c>
    </row>
    <row r="51" spans="1:36" ht="12.75" customHeight="1" x14ac:dyDescent="0.2">
      <c r="A51" s="505" t="s">
        <v>122</v>
      </c>
      <c r="B51" s="1236" t="s">
        <v>121</v>
      </c>
      <c r="C51" s="1235"/>
      <c r="D51" s="1056">
        <f t="shared" si="109"/>
        <v>10587</v>
      </c>
      <c r="E51" s="1057">
        <f t="shared" si="110"/>
        <v>0</v>
      </c>
      <c r="F51" s="1058">
        <f t="shared" si="111"/>
        <v>10587</v>
      </c>
      <c r="G51" s="446">
        <v>3324</v>
      </c>
      <c r="H51" s="446"/>
      <c r="I51" s="703">
        <f t="shared" si="4"/>
        <v>3324</v>
      </c>
      <c r="J51" s="446">
        <v>181</v>
      </c>
      <c r="K51" s="446"/>
      <c r="L51" s="703">
        <f t="shared" si="5"/>
        <v>181</v>
      </c>
      <c r="M51" s="446">
        <v>350</v>
      </c>
      <c r="N51" s="446"/>
      <c r="O51" s="703">
        <f t="shared" si="6"/>
        <v>350</v>
      </c>
      <c r="P51" s="446"/>
      <c r="Q51" s="446"/>
      <c r="R51" s="703">
        <f t="shared" si="7"/>
        <v>0</v>
      </c>
      <c r="S51" s="446">
        <v>6696</v>
      </c>
      <c r="T51" s="446"/>
      <c r="U51" s="703">
        <f t="shared" si="8"/>
        <v>6696</v>
      </c>
      <c r="V51" s="122">
        <v>36</v>
      </c>
      <c r="W51" s="446"/>
      <c r="X51" s="703">
        <f t="shared" si="9"/>
        <v>36</v>
      </c>
      <c r="Y51" s="446"/>
      <c r="Z51" s="446"/>
      <c r="AA51" s="703">
        <f t="shared" si="10"/>
        <v>0</v>
      </c>
      <c r="AB51" s="446">
        <v>0</v>
      </c>
      <c r="AC51" s="446"/>
      <c r="AD51" s="703">
        <f t="shared" si="11"/>
        <v>0</v>
      </c>
      <c r="AE51" s="446"/>
      <c r="AF51" s="446"/>
      <c r="AG51" s="1046">
        <f t="shared" si="12"/>
        <v>0</v>
      </c>
      <c r="AH51" s="446"/>
      <c r="AI51" s="446"/>
      <c r="AJ51" s="1042">
        <f t="shared" si="108"/>
        <v>0</v>
      </c>
    </row>
    <row r="52" spans="1:36" s="37" customFormat="1" ht="12.75" customHeight="1" x14ac:dyDescent="0.2">
      <c r="A52" s="503" t="s">
        <v>123</v>
      </c>
      <c r="B52" s="1240" t="s">
        <v>161</v>
      </c>
      <c r="C52" s="1225"/>
      <c r="D52" s="1056">
        <f t="shared" si="109"/>
        <v>225726</v>
      </c>
      <c r="E52" s="1057">
        <f t="shared" si="110"/>
        <v>0</v>
      </c>
      <c r="F52" s="1058">
        <f t="shared" si="111"/>
        <v>225726</v>
      </c>
      <c r="G52" s="969">
        <f t="shared" ref="G52" si="112">+G51+G50+G49+G48+G47+G46+G45</f>
        <v>34660</v>
      </c>
      <c r="H52" s="703">
        <f t="shared" ref="H52:AF52" si="113">+H51+H50+H49+H48+H47+H46+H45</f>
        <v>0</v>
      </c>
      <c r="I52" s="703">
        <f t="shared" si="4"/>
        <v>34660</v>
      </c>
      <c r="J52" s="703">
        <f t="shared" ref="J52" si="114">+J51+J50+J49+J48+J47+J46+J45</f>
        <v>850</v>
      </c>
      <c r="K52" s="703">
        <f t="shared" si="113"/>
        <v>0</v>
      </c>
      <c r="L52" s="703">
        <f t="shared" si="5"/>
        <v>850</v>
      </c>
      <c r="M52" s="969">
        <f t="shared" ref="M52" si="115">+M51+M50+M49+M48+M47+M46+M45</f>
        <v>1647</v>
      </c>
      <c r="N52" s="703">
        <f t="shared" si="113"/>
        <v>0</v>
      </c>
      <c r="O52" s="703">
        <f t="shared" si="6"/>
        <v>1647</v>
      </c>
      <c r="P52" s="703">
        <f t="shared" ref="P52" si="116">+P51+P50+P49+P48+P47+P46+P45</f>
        <v>0</v>
      </c>
      <c r="Q52" s="703">
        <f t="shared" si="113"/>
        <v>0</v>
      </c>
      <c r="R52" s="703">
        <f t="shared" si="7"/>
        <v>0</v>
      </c>
      <c r="S52" s="969">
        <f>+S51+S50+S49+S48+S47+S46+S45</f>
        <v>175347</v>
      </c>
      <c r="T52" s="703">
        <f t="shared" si="113"/>
        <v>0</v>
      </c>
      <c r="U52" s="703">
        <f t="shared" si="8"/>
        <v>175347</v>
      </c>
      <c r="V52" s="1066">
        <f t="shared" ref="V52" si="117">+V51+V50+V49+V48+V47+V46+V45</f>
        <v>168</v>
      </c>
      <c r="W52" s="703">
        <f t="shared" si="113"/>
        <v>0</v>
      </c>
      <c r="X52" s="703">
        <f t="shared" si="9"/>
        <v>168</v>
      </c>
      <c r="Y52" s="703">
        <f t="shared" si="113"/>
        <v>0</v>
      </c>
      <c r="Z52" s="703">
        <f t="shared" si="113"/>
        <v>0</v>
      </c>
      <c r="AA52" s="703">
        <f t="shared" si="10"/>
        <v>0</v>
      </c>
      <c r="AB52" s="703">
        <f>+AB51+AB50+AB49+AB48+AB47+AB46+AB45</f>
        <v>0</v>
      </c>
      <c r="AC52" s="703">
        <f t="shared" si="113"/>
        <v>0</v>
      </c>
      <c r="AD52" s="703">
        <f t="shared" si="11"/>
        <v>0</v>
      </c>
      <c r="AE52" s="969">
        <f>+AE51+AE50+AE49+AE48+AE47+AE46+AE45</f>
        <v>13054</v>
      </c>
      <c r="AF52" s="703">
        <f t="shared" si="113"/>
        <v>0</v>
      </c>
      <c r="AG52" s="1046">
        <f t="shared" si="12"/>
        <v>13054</v>
      </c>
      <c r="AH52" s="703">
        <f t="shared" ref="AH52:AI52" si="118">+AH51+AH50+AH49+AH48+AH47+AH46+AH45</f>
        <v>0</v>
      </c>
      <c r="AI52" s="703">
        <f t="shared" si="118"/>
        <v>0</v>
      </c>
      <c r="AJ52" s="1042">
        <f t="shared" si="108"/>
        <v>0</v>
      </c>
    </row>
    <row r="53" spans="1:36" ht="12.75" x14ac:dyDescent="0.2">
      <c r="A53" s="504"/>
      <c r="B53" s="695"/>
      <c r="C53" s="985"/>
      <c r="D53" s="1059"/>
      <c r="E53" s="1059"/>
      <c r="F53" s="1060"/>
      <c r="G53" s="600"/>
      <c r="H53" s="600"/>
      <c r="I53" s="804"/>
      <c r="J53" s="600"/>
      <c r="K53" s="600"/>
      <c r="L53" s="804"/>
      <c r="M53" s="1061"/>
      <c r="N53" s="600"/>
      <c r="O53" s="804"/>
      <c r="P53" s="600"/>
      <c r="Q53" s="600"/>
      <c r="R53" s="804"/>
      <c r="S53" s="600"/>
      <c r="T53" s="600"/>
      <c r="U53" s="804"/>
      <c r="V53" s="124"/>
      <c r="W53" s="600"/>
      <c r="X53" s="804"/>
      <c r="Y53" s="600"/>
      <c r="Z53" s="600"/>
      <c r="AA53" s="804"/>
      <c r="AB53" s="600"/>
      <c r="AC53" s="600"/>
      <c r="AD53" s="804"/>
      <c r="AE53" s="600"/>
      <c r="AF53" s="600"/>
      <c r="AG53" s="804"/>
      <c r="AH53" s="1047"/>
      <c r="AI53" s="600"/>
      <c r="AJ53" s="1043"/>
    </row>
    <row r="54" spans="1:36" ht="12.75" customHeight="1" x14ac:dyDescent="0.2">
      <c r="A54" s="505" t="s">
        <v>125</v>
      </c>
      <c r="B54" s="1236" t="s">
        <v>124</v>
      </c>
      <c r="C54" s="1235"/>
      <c r="D54" s="1056">
        <f t="shared" ref="D54:D58" si="119">+G54+J54+AB54+AE54+M54+V54+Y54+P54+S54+AH54</f>
        <v>0</v>
      </c>
      <c r="E54" s="1057">
        <f t="shared" ref="E54:E58" si="120">+H54+K54+AC54+AF54+N54+W54+Z54+Q54+T54+AI54</f>
        <v>0</v>
      </c>
      <c r="F54" s="1058">
        <f t="shared" ref="F54:F58" si="121">+I54+L54+AD54+AG54+O54+X54+AA54+R54+U54+AJ54</f>
        <v>0</v>
      </c>
      <c r="G54" s="746"/>
      <c r="H54" s="446"/>
      <c r="I54" s="703">
        <f t="shared" si="4"/>
        <v>0</v>
      </c>
      <c r="J54" s="446"/>
      <c r="K54" s="446"/>
      <c r="L54" s="703">
        <f t="shared" si="5"/>
        <v>0</v>
      </c>
      <c r="M54" s="446"/>
      <c r="N54" s="446"/>
      <c r="O54" s="703">
        <f t="shared" si="6"/>
        <v>0</v>
      </c>
      <c r="P54" s="446"/>
      <c r="Q54" s="446"/>
      <c r="R54" s="703">
        <f t="shared" si="7"/>
        <v>0</v>
      </c>
      <c r="S54" s="446"/>
      <c r="T54" s="446"/>
      <c r="U54" s="703">
        <f t="shared" si="8"/>
        <v>0</v>
      </c>
      <c r="V54" s="122"/>
      <c r="W54" s="446"/>
      <c r="X54" s="703">
        <f t="shared" si="9"/>
        <v>0</v>
      </c>
      <c r="Y54" s="446"/>
      <c r="Z54" s="446"/>
      <c r="AA54" s="703">
        <f t="shared" si="10"/>
        <v>0</v>
      </c>
      <c r="AB54" s="446"/>
      <c r="AC54" s="446"/>
      <c r="AD54" s="703">
        <f t="shared" si="11"/>
        <v>0</v>
      </c>
      <c r="AE54" s="446"/>
      <c r="AF54" s="446"/>
      <c r="AG54" s="1046">
        <f t="shared" si="12"/>
        <v>0</v>
      </c>
      <c r="AH54" s="446"/>
      <c r="AI54" s="446"/>
      <c r="AJ54" s="1042">
        <f t="shared" ref="AJ54:AJ63" si="122">+AI54+AH54</f>
        <v>0</v>
      </c>
    </row>
    <row r="55" spans="1:36" ht="12.75" customHeight="1" x14ac:dyDescent="0.2">
      <c r="A55" s="505" t="s">
        <v>127</v>
      </c>
      <c r="B55" s="1236" t="s">
        <v>126</v>
      </c>
      <c r="C55" s="1235"/>
      <c r="D55" s="1056">
        <f t="shared" si="119"/>
        <v>0</v>
      </c>
      <c r="E55" s="1057">
        <f t="shared" si="120"/>
        <v>0</v>
      </c>
      <c r="F55" s="1058">
        <f t="shared" si="121"/>
        <v>0</v>
      </c>
      <c r="G55" s="746"/>
      <c r="H55" s="446"/>
      <c r="I55" s="703">
        <f t="shared" si="4"/>
        <v>0</v>
      </c>
      <c r="J55" s="446"/>
      <c r="K55" s="446"/>
      <c r="L55" s="703">
        <f t="shared" si="5"/>
        <v>0</v>
      </c>
      <c r="M55" s="446"/>
      <c r="N55" s="446"/>
      <c r="O55" s="703">
        <f t="shared" si="6"/>
        <v>0</v>
      </c>
      <c r="P55" s="446"/>
      <c r="Q55" s="446"/>
      <c r="R55" s="703">
        <f t="shared" si="7"/>
        <v>0</v>
      </c>
      <c r="S55" s="446"/>
      <c r="T55" s="446"/>
      <c r="U55" s="703">
        <f t="shared" si="8"/>
        <v>0</v>
      </c>
      <c r="V55" s="122"/>
      <c r="W55" s="446"/>
      <c r="X55" s="703">
        <f t="shared" si="9"/>
        <v>0</v>
      </c>
      <c r="Y55" s="446"/>
      <c r="Z55" s="446"/>
      <c r="AA55" s="703">
        <f t="shared" si="10"/>
        <v>0</v>
      </c>
      <c r="AB55" s="446"/>
      <c r="AC55" s="446"/>
      <c r="AD55" s="703">
        <f t="shared" si="11"/>
        <v>0</v>
      </c>
      <c r="AE55" s="446"/>
      <c r="AF55" s="446"/>
      <c r="AG55" s="1046">
        <f t="shared" si="12"/>
        <v>0</v>
      </c>
      <c r="AH55" s="446"/>
      <c r="AI55" s="446"/>
      <c r="AJ55" s="1042">
        <f t="shared" si="122"/>
        <v>0</v>
      </c>
    </row>
    <row r="56" spans="1:36" ht="12.75" customHeight="1" x14ac:dyDescent="0.2">
      <c r="A56" s="505" t="s">
        <v>129</v>
      </c>
      <c r="B56" s="1236" t="s">
        <v>128</v>
      </c>
      <c r="C56" s="1235"/>
      <c r="D56" s="1056">
        <f t="shared" si="119"/>
        <v>0</v>
      </c>
      <c r="E56" s="1057">
        <f t="shared" si="120"/>
        <v>0</v>
      </c>
      <c r="F56" s="1058">
        <f t="shared" si="121"/>
        <v>0</v>
      </c>
      <c r="G56" s="746"/>
      <c r="H56" s="446"/>
      <c r="I56" s="703">
        <f t="shared" si="4"/>
        <v>0</v>
      </c>
      <c r="J56" s="446"/>
      <c r="K56" s="446"/>
      <c r="L56" s="703">
        <f t="shared" si="5"/>
        <v>0</v>
      </c>
      <c r="M56" s="446"/>
      <c r="N56" s="446"/>
      <c r="O56" s="703">
        <f t="shared" si="6"/>
        <v>0</v>
      </c>
      <c r="P56" s="446"/>
      <c r="Q56" s="446"/>
      <c r="R56" s="703">
        <f t="shared" si="7"/>
        <v>0</v>
      </c>
      <c r="S56" s="446"/>
      <c r="T56" s="446"/>
      <c r="U56" s="703">
        <f t="shared" si="8"/>
        <v>0</v>
      </c>
      <c r="V56" s="122"/>
      <c r="W56" s="446"/>
      <c r="X56" s="703">
        <f t="shared" si="9"/>
        <v>0</v>
      </c>
      <c r="Y56" s="446"/>
      <c r="Z56" s="446"/>
      <c r="AA56" s="703">
        <f t="shared" si="10"/>
        <v>0</v>
      </c>
      <c r="AB56" s="446"/>
      <c r="AC56" s="446"/>
      <c r="AD56" s="703">
        <f t="shared" si="11"/>
        <v>0</v>
      </c>
      <c r="AE56" s="446"/>
      <c r="AF56" s="446"/>
      <c r="AG56" s="1046">
        <f t="shared" si="12"/>
        <v>0</v>
      </c>
      <c r="AH56" s="446"/>
      <c r="AI56" s="446"/>
      <c r="AJ56" s="1042">
        <f t="shared" si="122"/>
        <v>0</v>
      </c>
    </row>
    <row r="57" spans="1:36" ht="12.75" customHeight="1" x14ac:dyDescent="0.2">
      <c r="A57" s="505" t="s">
        <v>131</v>
      </c>
      <c r="B57" s="1236" t="s">
        <v>130</v>
      </c>
      <c r="C57" s="1235"/>
      <c r="D57" s="1056">
        <f t="shared" si="119"/>
        <v>0</v>
      </c>
      <c r="E57" s="1057">
        <f t="shared" si="120"/>
        <v>0</v>
      </c>
      <c r="F57" s="1058">
        <f t="shared" si="121"/>
        <v>0</v>
      </c>
      <c r="G57" s="746"/>
      <c r="H57" s="446"/>
      <c r="I57" s="703">
        <f t="shared" si="4"/>
        <v>0</v>
      </c>
      <c r="J57" s="446"/>
      <c r="K57" s="446"/>
      <c r="L57" s="703">
        <f t="shared" si="5"/>
        <v>0</v>
      </c>
      <c r="M57" s="446"/>
      <c r="N57" s="446"/>
      <c r="O57" s="703">
        <f t="shared" si="6"/>
        <v>0</v>
      </c>
      <c r="P57" s="446"/>
      <c r="Q57" s="446"/>
      <c r="R57" s="703">
        <f t="shared" si="7"/>
        <v>0</v>
      </c>
      <c r="S57" s="446"/>
      <c r="T57" s="446"/>
      <c r="U57" s="703">
        <f t="shared" si="8"/>
        <v>0</v>
      </c>
      <c r="V57" s="122"/>
      <c r="W57" s="446"/>
      <c r="X57" s="703">
        <f t="shared" si="9"/>
        <v>0</v>
      </c>
      <c r="Y57" s="446"/>
      <c r="Z57" s="446"/>
      <c r="AA57" s="703">
        <f t="shared" si="10"/>
        <v>0</v>
      </c>
      <c r="AB57" s="446"/>
      <c r="AC57" s="446"/>
      <c r="AD57" s="703">
        <f t="shared" si="11"/>
        <v>0</v>
      </c>
      <c r="AE57" s="446"/>
      <c r="AF57" s="446"/>
      <c r="AG57" s="1046">
        <f t="shared" si="12"/>
        <v>0</v>
      </c>
      <c r="AH57" s="446"/>
      <c r="AI57" s="446"/>
      <c r="AJ57" s="1042">
        <f t="shared" si="122"/>
        <v>0</v>
      </c>
    </row>
    <row r="58" spans="1:36" s="37" customFormat="1" ht="12.75" customHeight="1" x14ac:dyDescent="0.2">
      <c r="A58" s="503" t="s">
        <v>132</v>
      </c>
      <c r="B58" s="1240" t="s">
        <v>160</v>
      </c>
      <c r="C58" s="1225"/>
      <c r="D58" s="1056">
        <f t="shared" si="119"/>
        <v>0</v>
      </c>
      <c r="E58" s="1057">
        <f t="shared" si="120"/>
        <v>0</v>
      </c>
      <c r="F58" s="1058">
        <f t="shared" si="121"/>
        <v>0</v>
      </c>
      <c r="G58" s="965">
        <f t="shared" ref="G58" si="123">SUM(G54:G57)</f>
        <v>0</v>
      </c>
      <c r="H58" s="703">
        <f t="shared" ref="H58:AF58" si="124">SUM(H54:H57)</f>
        <v>0</v>
      </c>
      <c r="I58" s="703">
        <f t="shared" si="4"/>
        <v>0</v>
      </c>
      <c r="J58" s="703">
        <f t="shared" ref="J58" si="125">SUM(J54:J57)</f>
        <v>0</v>
      </c>
      <c r="K58" s="703">
        <f t="shared" si="124"/>
        <v>0</v>
      </c>
      <c r="L58" s="703">
        <f t="shared" si="5"/>
        <v>0</v>
      </c>
      <c r="M58" s="969">
        <f t="shared" ref="M58" si="126">SUM(M54:M57)</f>
        <v>0</v>
      </c>
      <c r="N58" s="703">
        <f t="shared" si="124"/>
        <v>0</v>
      </c>
      <c r="O58" s="703">
        <f t="shared" si="6"/>
        <v>0</v>
      </c>
      <c r="P58" s="703">
        <f t="shared" ref="P58" si="127">SUM(P54:P57)</f>
        <v>0</v>
      </c>
      <c r="Q58" s="703">
        <f t="shared" si="124"/>
        <v>0</v>
      </c>
      <c r="R58" s="703">
        <f t="shared" si="7"/>
        <v>0</v>
      </c>
      <c r="S58" s="703">
        <f t="shared" ref="S58" si="128">SUM(S54:S57)</f>
        <v>0</v>
      </c>
      <c r="T58" s="703">
        <f t="shared" si="124"/>
        <v>0</v>
      </c>
      <c r="U58" s="703">
        <f t="shared" si="8"/>
        <v>0</v>
      </c>
      <c r="V58" s="703">
        <f t="shared" ref="V58" si="129">SUM(V54:V57)</f>
        <v>0</v>
      </c>
      <c r="W58" s="703">
        <f t="shared" si="124"/>
        <v>0</v>
      </c>
      <c r="X58" s="703">
        <f t="shared" si="9"/>
        <v>0</v>
      </c>
      <c r="Y58" s="703">
        <f t="shared" si="124"/>
        <v>0</v>
      </c>
      <c r="Z58" s="703">
        <f t="shared" si="124"/>
        <v>0</v>
      </c>
      <c r="AA58" s="703">
        <f t="shared" si="10"/>
        <v>0</v>
      </c>
      <c r="AB58" s="703">
        <f t="shared" ref="AB58" si="130">SUM(AB54:AB57)</f>
        <v>0</v>
      </c>
      <c r="AC58" s="703">
        <f t="shared" si="124"/>
        <v>0</v>
      </c>
      <c r="AD58" s="703">
        <f t="shared" si="11"/>
        <v>0</v>
      </c>
      <c r="AE58" s="703">
        <f t="shared" ref="AE58" si="131">SUM(AE54:AE57)</f>
        <v>0</v>
      </c>
      <c r="AF58" s="703">
        <f t="shared" si="124"/>
        <v>0</v>
      </c>
      <c r="AG58" s="1046">
        <f t="shared" si="12"/>
        <v>0</v>
      </c>
      <c r="AH58" s="703">
        <f t="shared" ref="AH58:AI58" si="132">SUM(AH54:AH57)</f>
        <v>0</v>
      </c>
      <c r="AI58" s="703">
        <f t="shared" si="132"/>
        <v>0</v>
      </c>
      <c r="AJ58" s="1042">
        <f t="shared" si="122"/>
        <v>0</v>
      </c>
    </row>
    <row r="59" spans="1:36" ht="12.75" x14ac:dyDescent="0.2">
      <c r="A59" s="504"/>
      <c r="B59" s="695"/>
      <c r="C59" s="985"/>
      <c r="D59" s="1059"/>
      <c r="E59" s="1059"/>
      <c r="F59" s="1060"/>
      <c r="G59" s="600"/>
      <c r="H59" s="600"/>
      <c r="I59" s="804">
        <f t="shared" si="4"/>
        <v>0</v>
      </c>
      <c r="J59" s="600"/>
      <c r="K59" s="600"/>
      <c r="L59" s="804">
        <f t="shared" si="5"/>
        <v>0</v>
      </c>
      <c r="M59" s="1061"/>
      <c r="N59" s="600"/>
      <c r="O59" s="804">
        <f t="shared" si="6"/>
        <v>0</v>
      </c>
      <c r="P59" s="600"/>
      <c r="Q59" s="600"/>
      <c r="R59" s="804">
        <f t="shared" si="7"/>
        <v>0</v>
      </c>
      <c r="S59" s="600"/>
      <c r="T59" s="600"/>
      <c r="U59" s="804">
        <f t="shared" si="8"/>
        <v>0</v>
      </c>
      <c r="V59" s="124"/>
      <c r="W59" s="600"/>
      <c r="X59" s="804">
        <f t="shared" si="9"/>
        <v>0</v>
      </c>
      <c r="Y59" s="600"/>
      <c r="Z59" s="600"/>
      <c r="AA59" s="804">
        <f t="shared" si="10"/>
        <v>0</v>
      </c>
      <c r="AB59" s="600"/>
      <c r="AC59" s="600"/>
      <c r="AD59" s="804">
        <f t="shared" si="11"/>
        <v>0</v>
      </c>
      <c r="AE59" s="600"/>
      <c r="AF59" s="600"/>
      <c r="AG59" s="804">
        <f t="shared" si="12"/>
        <v>0</v>
      </c>
      <c r="AH59" s="1047"/>
      <c r="AI59" s="600"/>
      <c r="AJ59" s="1043">
        <f t="shared" si="122"/>
        <v>0</v>
      </c>
    </row>
    <row r="60" spans="1:36" ht="12.75" x14ac:dyDescent="0.2">
      <c r="A60" s="505" t="s">
        <v>371</v>
      </c>
      <c r="B60" s="1281" t="s">
        <v>372</v>
      </c>
      <c r="C60" s="1282"/>
      <c r="D60" s="1056">
        <f t="shared" ref="D60:D63" si="133">+G60+J60+AB60+AE60+M60+V60+Y60+P60+S60+AH60</f>
        <v>0</v>
      </c>
      <c r="E60" s="1057">
        <f t="shared" ref="E60:E63" si="134">+H60+K60+AC60+AF60+N60+W60+Z60+Q60+T60+AI60</f>
        <v>0</v>
      </c>
      <c r="F60" s="1058">
        <f t="shared" ref="F60:F63" si="135">+I60+L60+AD60+AG60+O60+X60+AA60+R60+U60+AJ60</f>
        <v>0</v>
      </c>
      <c r="G60" s="746"/>
      <c r="H60" s="446"/>
      <c r="I60" s="703">
        <f t="shared" si="4"/>
        <v>0</v>
      </c>
      <c r="J60" s="446"/>
      <c r="K60" s="446"/>
      <c r="L60" s="703">
        <f t="shared" si="5"/>
        <v>0</v>
      </c>
      <c r="M60" s="446"/>
      <c r="N60" s="446"/>
      <c r="O60" s="703">
        <f t="shared" si="6"/>
        <v>0</v>
      </c>
      <c r="P60" s="446"/>
      <c r="Q60" s="446"/>
      <c r="R60" s="703">
        <f t="shared" si="7"/>
        <v>0</v>
      </c>
      <c r="S60" s="446"/>
      <c r="T60" s="446"/>
      <c r="U60" s="703">
        <f t="shared" si="8"/>
        <v>0</v>
      </c>
      <c r="V60" s="122"/>
      <c r="W60" s="446"/>
      <c r="X60" s="703">
        <f t="shared" si="9"/>
        <v>0</v>
      </c>
      <c r="Y60" s="446"/>
      <c r="Z60" s="446"/>
      <c r="AA60" s="703">
        <f t="shared" si="10"/>
        <v>0</v>
      </c>
      <c r="AB60" s="446"/>
      <c r="AC60" s="446"/>
      <c r="AD60" s="703">
        <f t="shared" si="11"/>
        <v>0</v>
      </c>
      <c r="AE60" s="446"/>
      <c r="AF60" s="446"/>
      <c r="AG60" s="1046">
        <f t="shared" si="12"/>
        <v>0</v>
      </c>
      <c r="AH60" s="446"/>
      <c r="AI60" s="446"/>
      <c r="AJ60" s="1042">
        <f t="shared" si="122"/>
        <v>0</v>
      </c>
    </row>
    <row r="61" spans="1:36" ht="12.75" x14ac:dyDescent="0.2">
      <c r="A61" s="505" t="s">
        <v>384</v>
      </c>
      <c r="B61" s="1236" t="s">
        <v>385</v>
      </c>
      <c r="C61" s="1235"/>
      <c r="D61" s="1056">
        <f t="shared" si="133"/>
        <v>8436</v>
      </c>
      <c r="E61" s="1057">
        <f t="shared" si="134"/>
        <v>2518</v>
      </c>
      <c r="F61" s="1058">
        <f t="shared" si="135"/>
        <v>10954</v>
      </c>
      <c r="G61" s="746"/>
      <c r="H61" s="446"/>
      <c r="I61" s="703">
        <f t="shared" si="4"/>
        <v>0</v>
      </c>
      <c r="J61" s="446"/>
      <c r="K61" s="446"/>
      <c r="L61" s="703">
        <f t="shared" si="5"/>
        <v>0</v>
      </c>
      <c r="M61" s="446"/>
      <c r="N61" s="446"/>
      <c r="O61" s="703">
        <f t="shared" si="6"/>
        <v>0</v>
      </c>
      <c r="P61" s="446"/>
      <c r="Q61" s="446">
        <v>2510</v>
      </c>
      <c r="R61" s="703">
        <f t="shared" si="7"/>
        <v>2510</v>
      </c>
      <c r="S61" s="446"/>
      <c r="T61" s="446"/>
      <c r="U61" s="703">
        <f t="shared" si="8"/>
        <v>0</v>
      </c>
      <c r="V61" s="122"/>
      <c r="W61" s="446"/>
      <c r="X61" s="703">
        <f t="shared" si="9"/>
        <v>0</v>
      </c>
      <c r="Y61" s="446"/>
      <c r="Z61" s="446">
        <v>8</v>
      </c>
      <c r="AA61" s="703">
        <f t="shared" si="10"/>
        <v>8</v>
      </c>
      <c r="AB61" s="446">
        <v>536</v>
      </c>
      <c r="AC61" s="446"/>
      <c r="AD61" s="703">
        <f t="shared" si="11"/>
        <v>536</v>
      </c>
      <c r="AE61" s="446"/>
      <c r="AF61" s="446"/>
      <c r="AG61" s="1046">
        <f t="shared" si="12"/>
        <v>0</v>
      </c>
      <c r="AH61" s="446">
        <v>7900</v>
      </c>
      <c r="AI61" s="446"/>
      <c r="AJ61" s="1042">
        <f t="shared" si="122"/>
        <v>7900</v>
      </c>
    </row>
    <row r="62" spans="1:36" ht="12.75" customHeight="1" x14ac:dyDescent="0.2">
      <c r="A62" s="505" t="s">
        <v>133</v>
      </c>
      <c r="B62" s="1236" t="s">
        <v>386</v>
      </c>
      <c r="C62" s="1235"/>
      <c r="D62" s="1056">
        <f t="shared" si="133"/>
        <v>0</v>
      </c>
      <c r="E62" s="1057">
        <f t="shared" si="134"/>
        <v>0</v>
      </c>
      <c r="F62" s="1058">
        <f t="shared" si="135"/>
        <v>0</v>
      </c>
      <c r="G62" s="746"/>
      <c r="H62" s="446"/>
      <c r="I62" s="703">
        <f t="shared" si="4"/>
        <v>0</v>
      </c>
      <c r="J62" s="446"/>
      <c r="K62" s="446"/>
      <c r="L62" s="703">
        <f t="shared" si="5"/>
        <v>0</v>
      </c>
      <c r="M62" s="446"/>
      <c r="N62" s="446"/>
      <c r="O62" s="703">
        <f t="shared" si="6"/>
        <v>0</v>
      </c>
      <c r="P62" s="446"/>
      <c r="Q62" s="446"/>
      <c r="R62" s="703">
        <f t="shared" si="7"/>
        <v>0</v>
      </c>
      <c r="S62" s="446"/>
      <c r="T62" s="446"/>
      <c r="U62" s="703">
        <f t="shared" si="8"/>
        <v>0</v>
      </c>
      <c r="V62" s="122"/>
      <c r="W62" s="446"/>
      <c r="X62" s="703">
        <f t="shared" si="9"/>
        <v>0</v>
      </c>
      <c r="Y62" s="446"/>
      <c r="Z62" s="446"/>
      <c r="AA62" s="703">
        <f t="shared" si="10"/>
        <v>0</v>
      </c>
      <c r="AB62" s="446"/>
      <c r="AC62" s="446"/>
      <c r="AD62" s="703">
        <f t="shared" si="11"/>
        <v>0</v>
      </c>
      <c r="AE62" s="446"/>
      <c r="AF62" s="446"/>
      <c r="AG62" s="1046">
        <f t="shared" si="12"/>
        <v>0</v>
      </c>
      <c r="AH62" s="446"/>
      <c r="AI62" s="446"/>
      <c r="AJ62" s="1042">
        <f t="shared" si="122"/>
        <v>0</v>
      </c>
    </row>
    <row r="63" spans="1:36" s="37" customFormat="1" ht="12.75" customHeight="1" x14ac:dyDescent="0.2">
      <c r="A63" s="503" t="s">
        <v>134</v>
      </c>
      <c r="B63" s="1240" t="s">
        <v>158</v>
      </c>
      <c r="C63" s="1225"/>
      <c r="D63" s="1056">
        <f t="shared" si="133"/>
        <v>8436</v>
      </c>
      <c r="E63" s="1057">
        <f t="shared" si="134"/>
        <v>2518</v>
      </c>
      <c r="F63" s="1058">
        <f t="shared" si="135"/>
        <v>10954</v>
      </c>
      <c r="G63" s="965">
        <f t="shared" ref="G63" si="136">SUM(G60:G62)</f>
        <v>0</v>
      </c>
      <c r="H63" s="703">
        <f t="shared" ref="H63:AF63" si="137">SUM(H60:H62)</f>
        <v>0</v>
      </c>
      <c r="I63" s="703">
        <f t="shared" si="4"/>
        <v>0</v>
      </c>
      <c r="J63" s="703">
        <f t="shared" ref="J63" si="138">SUM(J60:J62)</f>
        <v>0</v>
      </c>
      <c r="K63" s="703">
        <f t="shared" si="137"/>
        <v>0</v>
      </c>
      <c r="L63" s="703">
        <f t="shared" si="5"/>
        <v>0</v>
      </c>
      <c r="M63" s="1067">
        <f t="shared" ref="M63" si="139">SUM(M60:M62)</f>
        <v>0</v>
      </c>
      <c r="N63" s="703">
        <f t="shared" si="137"/>
        <v>0</v>
      </c>
      <c r="O63" s="703">
        <f t="shared" si="6"/>
        <v>0</v>
      </c>
      <c r="P63" s="703">
        <f t="shared" ref="P63" si="140">SUM(P60:P62)</f>
        <v>0</v>
      </c>
      <c r="Q63" s="703">
        <f t="shared" si="137"/>
        <v>2510</v>
      </c>
      <c r="R63" s="703">
        <f t="shared" si="7"/>
        <v>2510</v>
      </c>
      <c r="S63" s="703"/>
      <c r="T63" s="703">
        <f t="shared" si="137"/>
        <v>0</v>
      </c>
      <c r="U63" s="703">
        <f t="shared" si="8"/>
        <v>0</v>
      </c>
      <c r="V63" s="134">
        <f t="shared" ref="V63" si="141">SUM(V60:V62)</f>
        <v>0</v>
      </c>
      <c r="W63" s="703">
        <f t="shared" si="137"/>
        <v>0</v>
      </c>
      <c r="X63" s="703">
        <f t="shared" si="9"/>
        <v>0</v>
      </c>
      <c r="Y63" s="703">
        <f t="shared" si="137"/>
        <v>0</v>
      </c>
      <c r="Z63" s="703">
        <f t="shared" si="137"/>
        <v>8</v>
      </c>
      <c r="AA63" s="703">
        <f t="shared" si="10"/>
        <v>8</v>
      </c>
      <c r="AB63" s="703">
        <f t="shared" si="137"/>
        <v>536</v>
      </c>
      <c r="AC63" s="703">
        <f t="shared" si="137"/>
        <v>0</v>
      </c>
      <c r="AD63" s="703">
        <f t="shared" si="11"/>
        <v>536</v>
      </c>
      <c r="AE63" s="703"/>
      <c r="AF63" s="703">
        <f t="shared" si="137"/>
        <v>0</v>
      </c>
      <c r="AG63" s="1046">
        <f t="shared" si="12"/>
        <v>0</v>
      </c>
      <c r="AH63" s="703">
        <f t="shared" ref="AH63:AI63" si="142">SUM(AH60:AH62)</f>
        <v>7900</v>
      </c>
      <c r="AI63" s="703">
        <f t="shared" si="142"/>
        <v>0</v>
      </c>
      <c r="AJ63" s="1042">
        <f t="shared" si="122"/>
        <v>7900</v>
      </c>
    </row>
    <row r="64" spans="1:36" ht="13.5" thickBot="1" x14ac:dyDescent="0.25">
      <c r="A64" s="504"/>
      <c r="B64" s="502"/>
      <c r="C64" s="987"/>
      <c r="D64" s="1059"/>
      <c r="E64" s="1059"/>
      <c r="F64" s="1060"/>
      <c r="G64" s="600"/>
      <c r="H64" s="600"/>
      <c r="I64" s="804"/>
      <c r="J64" s="600"/>
      <c r="K64" s="600"/>
      <c r="L64" s="804"/>
      <c r="M64" s="1068"/>
      <c r="N64" s="600"/>
      <c r="O64" s="804"/>
      <c r="P64" s="600"/>
      <c r="Q64" s="600"/>
      <c r="R64" s="804"/>
      <c r="S64" s="600"/>
      <c r="T64" s="600"/>
      <c r="U64" s="804"/>
      <c r="V64" s="124"/>
      <c r="W64" s="600"/>
      <c r="X64" s="804"/>
      <c r="Y64" s="600"/>
      <c r="Z64" s="600"/>
      <c r="AA64" s="804"/>
      <c r="AB64" s="600"/>
      <c r="AC64" s="600"/>
      <c r="AD64" s="804"/>
      <c r="AE64" s="600"/>
      <c r="AF64" s="600"/>
      <c r="AG64" s="804"/>
      <c r="AH64" s="1047"/>
      <c r="AI64" s="600"/>
      <c r="AJ64" s="1043"/>
    </row>
    <row r="65" spans="1:36" s="37" customFormat="1" ht="12.75" customHeight="1" thickBot="1" x14ac:dyDescent="0.25">
      <c r="A65" s="706" t="s">
        <v>135</v>
      </c>
      <c r="B65" s="1254" t="s">
        <v>157</v>
      </c>
      <c r="C65" s="1255"/>
      <c r="D65" s="1069">
        <f t="shared" ref="D65" si="143">+G65+J65+AB65+AE65+M65+V65+Y65+P65+S65+AH65</f>
        <v>329384</v>
      </c>
      <c r="E65" s="1070">
        <f t="shared" ref="E65" si="144">+H65+K65+AC65+AF65+N65+W65+Z65+Q65+T65+AI65</f>
        <v>2672</v>
      </c>
      <c r="F65" s="1071">
        <f t="shared" ref="F65" si="145">+I65+L65+AD65+AG65+O65+X65+AA65+R65+U65+AJ65</f>
        <v>332056</v>
      </c>
      <c r="G65" s="1072">
        <f>+G63+G58+G52+G43+G35+G9+G7</f>
        <v>59877</v>
      </c>
      <c r="H65" s="709">
        <f t="shared" ref="H65:AF65" si="146">+H63+H58+H52+H43+H35+H9+H7</f>
        <v>178</v>
      </c>
      <c r="I65" s="709">
        <f t="shared" si="4"/>
        <v>60055</v>
      </c>
      <c r="J65" s="709">
        <f t="shared" ref="J65" si="147">+J63+J58+J52+J43+J35+J9+J7</f>
        <v>850</v>
      </c>
      <c r="K65" s="709">
        <f t="shared" si="146"/>
        <v>0</v>
      </c>
      <c r="L65" s="709">
        <f t="shared" si="5"/>
        <v>850</v>
      </c>
      <c r="M65" s="1040">
        <f t="shared" ref="M65" si="148">+M63+M58+M52+M43+M35+M9+M7</f>
        <v>10900</v>
      </c>
      <c r="N65" s="709">
        <f t="shared" si="146"/>
        <v>0</v>
      </c>
      <c r="O65" s="709">
        <f t="shared" si="6"/>
        <v>10900</v>
      </c>
      <c r="P65" s="709">
        <f t="shared" ref="P65" si="149">+P63+P58+P52+P43+P35+P9+P7</f>
        <v>24</v>
      </c>
      <c r="Q65" s="709">
        <f t="shared" si="146"/>
        <v>2486</v>
      </c>
      <c r="R65" s="709">
        <f t="shared" si="7"/>
        <v>2510</v>
      </c>
      <c r="S65" s="709">
        <f t="shared" ref="S65" si="150">+S63+S58+S52+S43+S35+S9+S7</f>
        <v>220943</v>
      </c>
      <c r="T65" s="709">
        <f t="shared" si="146"/>
        <v>0</v>
      </c>
      <c r="U65" s="709">
        <f t="shared" si="8"/>
        <v>220943</v>
      </c>
      <c r="V65" s="1073">
        <f t="shared" ref="V65" si="151">+V63+V58+V52+V43+V35+V9+V7</f>
        <v>562</v>
      </c>
      <c r="W65" s="709">
        <f>+W63+W58+W52+W43+W35+W9+W7</f>
        <v>0</v>
      </c>
      <c r="X65" s="709">
        <f t="shared" si="9"/>
        <v>562</v>
      </c>
      <c r="Y65" s="709">
        <f t="shared" si="146"/>
        <v>0</v>
      </c>
      <c r="Z65" s="709">
        <f t="shared" si="146"/>
        <v>8</v>
      </c>
      <c r="AA65" s="709">
        <f t="shared" si="10"/>
        <v>8</v>
      </c>
      <c r="AB65" s="709">
        <f t="shared" ref="AB65" si="152">+AB63+AB58+AB52+AB43+AB35+AB9+AB7</f>
        <v>536</v>
      </c>
      <c r="AC65" s="709">
        <f t="shared" si="146"/>
        <v>0</v>
      </c>
      <c r="AD65" s="709">
        <f t="shared" si="11"/>
        <v>536</v>
      </c>
      <c r="AE65" s="709">
        <f t="shared" ref="AE65" si="153">+AE63+AE58+AE52+AE43+AE35+AE9+AE7</f>
        <v>27792</v>
      </c>
      <c r="AF65" s="709">
        <f t="shared" si="146"/>
        <v>0</v>
      </c>
      <c r="AG65" s="1053">
        <f t="shared" si="12"/>
        <v>27792</v>
      </c>
      <c r="AH65" s="709">
        <f t="shared" ref="AH65:AI65" si="154">+AH63+AH58+AH52+AH43+AH35+AH9+AH7</f>
        <v>7900</v>
      </c>
      <c r="AI65" s="709">
        <f t="shared" si="154"/>
        <v>0</v>
      </c>
      <c r="AJ65" s="1044">
        <f t="shared" ref="AJ65" si="155">+AI65+AH65</f>
        <v>7900</v>
      </c>
    </row>
  </sheetData>
  <mergeCells count="79">
    <mergeCell ref="S2:U2"/>
    <mergeCell ref="S3:U3"/>
    <mergeCell ref="D2:F2"/>
    <mergeCell ref="A2:A4"/>
    <mergeCell ref="B2:C4"/>
    <mergeCell ref="G2:I2"/>
    <mergeCell ref="J2:L2"/>
    <mergeCell ref="D3:F3"/>
    <mergeCell ref="B14:C14"/>
    <mergeCell ref="B15:C15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B13:C13"/>
    <mergeCell ref="B5:C5"/>
    <mergeCell ref="B6:C6"/>
    <mergeCell ref="B7:C7"/>
    <mergeCell ref="B9:C9"/>
    <mergeCell ref="B11:C11"/>
    <mergeCell ref="B12:C12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39:C39"/>
    <mergeCell ref="B35:C35"/>
    <mergeCell ref="B25:C25"/>
    <mergeCell ref="B26:C26"/>
    <mergeCell ref="B27:C27"/>
    <mergeCell ref="B51:C51"/>
    <mergeCell ref="B52:C52"/>
    <mergeCell ref="B40:C40"/>
    <mergeCell ref="B48:C48"/>
    <mergeCell ref="B49:C49"/>
    <mergeCell ref="B50:C50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AH2:AJ2"/>
    <mergeCell ref="AH3:AJ3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5" orientation="landscape" cellComments="asDisplayed" r:id="rId1"/>
  <headerFooter>
    <oddHeader>&amp;C&amp;"Times New Roman,Félkövér"&amp;12Martonvásár Város Önkormányzatának kiadásai 2021.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xSplit="3" ySplit="4" topLeftCell="D5" activePane="bottomRight" state="frozen"/>
      <selection activeCell="B40" sqref="B40"/>
      <selection pane="topRight" activeCell="B40" sqref="B40"/>
      <selection pane="bottomLeft" activeCell="B40" sqref="B40"/>
      <selection pane="bottomRight" activeCell="F57" sqref="F57"/>
    </sheetView>
  </sheetViews>
  <sheetFormatPr defaultColWidth="9.140625" defaultRowHeight="12.75" x14ac:dyDescent="0.2"/>
  <cols>
    <col min="1" max="1" width="7.28515625" style="20" customWidth="1"/>
    <col min="2" max="2" width="7.140625" style="21" customWidth="1"/>
    <col min="3" max="3" width="32" style="1054" customWidth="1"/>
    <col min="4" max="7" width="7.7109375" style="615" customWidth="1"/>
    <col min="8" max="8" width="6.7109375" style="615" customWidth="1"/>
    <col min="9" max="9" width="7.42578125" style="615" customWidth="1"/>
    <col min="10" max="10" width="7.28515625" style="615" customWidth="1"/>
    <col min="11" max="11" width="7.7109375" style="615" customWidth="1"/>
    <col min="12" max="12" width="7" style="615" customWidth="1"/>
    <col min="13" max="13" width="7.7109375" style="615" customWidth="1"/>
    <col min="14" max="14" width="7.42578125" style="615" customWidth="1"/>
    <col min="15" max="15" width="7.7109375" style="615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0"/>
      <c r="B1" s="21"/>
      <c r="C1" s="1054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S1" s="1237" t="s">
        <v>383</v>
      </c>
      <c r="T1" s="1237"/>
      <c r="U1" s="1237"/>
    </row>
    <row r="2" spans="1:21" s="27" customFormat="1" ht="33.75" customHeight="1" x14ac:dyDescent="0.25">
      <c r="A2" s="1260" t="s">
        <v>0</v>
      </c>
      <c r="B2" s="1262" t="s">
        <v>182</v>
      </c>
      <c r="C2" s="1263"/>
      <c r="D2" s="1285" t="s">
        <v>180</v>
      </c>
      <c r="E2" s="1286"/>
      <c r="F2" s="1287"/>
      <c r="G2" s="1283" t="s">
        <v>186</v>
      </c>
      <c r="H2" s="1251"/>
      <c r="I2" s="1251"/>
      <c r="J2" s="1251" t="s">
        <v>187</v>
      </c>
      <c r="K2" s="1251"/>
      <c r="L2" s="1251"/>
      <c r="M2" s="1251" t="s">
        <v>188</v>
      </c>
      <c r="N2" s="1251"/>
      <c r="O2" s="1259"/>
      <c r="P2" s="1279" t="s">
        <v>191</v>
      </c>
      <c r="Q2" s="1252"/>
      <c r="R2" s="1252"/>
      <c r="S2" s="1252" t="s">
        <v>192</v>
      </c>
      <c r="T2" s="1252"/>
      <c r="U2" s="1252"/>
    </row>
    <row r="3" spans="1:21" s="27" customFormat="1" x14ac:dyDescent="0.25">
      <c r="A3" s="1261"/>
      <c r="B3" s="1246"/>
      <c r="C3" s="1264"/>
      <c r="D3" s="1288"/>
      <c r="E3" s="1289"/>
      <c r="F3" s="1290"/>
      <c r="G3" s="1279" t="s">
        <v>189</v>
      </c>
      <c r="H3" s="1252"/>
      <c r="I3" s="1252"/>
      <c r="J3" s="1252" t="s">
        <v>189</v>
      </c>
      <c r="K3" s="1252"/>
      <c r="L3" s="1252"/>
      <c r="M3" s="1252" t="s">
        <v>190</v>
      </c>
      <c r="N3" s="1252"/>
      <c r="O3" s="1253"/>
      <c r="P3" s="1273" t="s">
        <v>190</v>
      </c>
      <c r="Q3" s="1274"/>
      <c r="R3" s="1274"/>
      <c r="S3" s="1274" t="s">
        <v>190</v>
      </c>
      <c r="T3" s="1274"/>
      <c r="U3" s="1274"/>
    </row>
    <row r="4" spans="1:21" s="16" customFormat="1" ht="25.5" x14ac:dyDescent="0.25">
      <c r="A4" s="1261"/>
      <c r="B4" s="1246"/>
      <c r="C4" s="1264"/>
      <c r="D4" s="1045" t="s">
        <v>944</v>
      </c>
      <c r="E4" s="984" t="s">
        <v>684</v>
      </c>
      <c r="F4" s="1041" t="s">
        <v>941</v>
      </c>
      <c r="G4" s="1055" t="s">
        <v>944</v>
      </c>
      <c r="H4" s="984" t="s">
        <v>684</v>
      </c>
      <c r="I4" s="984" t="s">
        <v>941</v>
      </c>
      <c r="J4" s="984" t="s">
        <v>944</v>
      </c>
      <c r="K4" s="984" t="s">
        <v>684</v>
      </c>
      <c r="L4" s="984" t="s">
        <v>941</v>
      </c>
      <c r="M4" s="984" t="s">
        <v>944</v>
      </c>
      <c r="N4" s="984" t="s">
        <v>684</v>
      </c>
      <c r="O4" s="1041" t="s">
        <v>941</v>
      </c>
      <c r="P4" s="710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37" customFormat="1" ht="12" customHeight="1" x14ac:dyDescent="0.2">
      <c r="A5" s="503" t="s">
        <v>27</v>
      </c>
      <c r="B5" s="1240" t="s">
        <v>174</v>
      </c>
      <c r="C5" s="1225"/>
      <c r="D5" s="1051">
        <f>+G5+J5+M5+P5+S5</f>
        <v>18791</v>
      </c>
      <c r="E5" s="703">
        <f t="shared" ref="E5:F6" si="0">+H5+K5+N5+Q5+T5</f>
        <v>0</v>
      </c>
      <c r="F5" s="1042">
        <f t="shared" si="0"/>
        <v>18791</v>
      </c>
      <c r="G5" s="703">
        <v>14287</v>
      </c>
      <c r="H5" s="703"/>
      <c r="I5" s="703">
        <f>+H5+G5</f>
        <v>14287</v>
      </c>
      <c r="J5" s="703">
        <v>4504</v>
      </c>
      <c r="K5" s="703"/>
      <c r="L5" s="703">
        <f>+K5+J5</f>
        <v>4504</v>
      </c>
      <c r="M5" s="703"/>
      <c r="N5" s="703"/>
      <c r="O5" s="1042">
        <f>+N5+M5</f>
        <v>0</v>
      </c>
      <c r="P5" s="559"/>
      <c r="Q5" s="47"/>
      <c r="R5" s="47"/>
      <c r="S5" s="47"/>
      <c r="T5" s="47"/>
      <c r="U5" s="47"/>
    </row>
    <row r="6" spans="1:21" s="37" customFormat="1" ht="12" customHeight="1" x14ac:dyDescent="0.2">
      <c r="A6" s="503" t="s">
        <v>33</v>
      </c>
      <c r="B6" s="1240" t="s">
        <v>173</v>
      </c>
      <c r="C6" s="1225"/>
      <c r="D6" s="1051">
        <f>+G6+J6+M6+P6+S6</f>
        <v>0</v>
      </c>
      <c r="E6" s="703">
        <f t="shared" si="0"/>
        <v>0</v>
      </c>
      <c r="F6" s="1042">
        <f t="shared" si="0"/>
        <v>0</v>
      </c>
      <c r="G6" s="703"/>
      <c r="H6" s="703"/>
      <c r="I6" s="703">
        <f>+H6+G6</f>
        <v>0</v>
      </c>
      <c r="J6" s="703"/>
      <c r="K6" s="703"/>
      <c r="L6" s="703">
        <f>+K6+J6</f>
        <v>0</v>
      </c>
      <c r="M6" s="703"/>
      <c r="N6" s="703"/>
      <c r="O6" s="1042">
        <f>+N6+M6</f>
        <v>0</v>
      </c>
      <c r="P6" s="559"/>
      <c r="Q6" s="47"/>
      <c r="R6" s="47"/>
      <c r="S6" s="47"/>
      <c r="T6" s="47"/>
      <c r="U6" s="47"/>
    </row>
    <row r="7" spans="1:21" s="37" customFormat="1" ht="12" customHeight="1" x14ac:dyDescent="0.2">
      <c r="A7" s="725" t="s">
        <v>34</v>
      </c>
      <c r="B7" s="1239" t="s">
        <v>172</v>
      </c>
      <c r="C7" s="1291"/>
      <c r="D7" s="1074">
        <f>+D6+D5</f>
        <v>18791</v>
      </c>
      <c r="E7" s="969">
        <f t="shared" ref="E7:F7" si="1">+E6+E5</f>
        <v>0</v>
      </c>
      <c r="F7" s="1075">
        <f t="shared" si="1"/>
        <v>18791</v>
      </c>
      <c r="G7" s="969">
        <f>+G5+G6</f>
        <v>14287</v>
      </c>
      <c r="H7" s="969">
        <f t="shared" ref="H7:J7" si="2">+H5+H6</f>
        <v>0</v>
      </c>
      <c r="I7" s="969">
        <f t="shared" si="2"/>
        <v>14287</v>
      </c>
      <c r="J7" s="969">
        <f t="shared" si="2"/>
        <v>4504</v>
      </c>
      <c r="K7" s="969">
        <f t="shared" ref="K7:L7" si="3">K5+K6</f>
        <v>0</v>
      </c>
      <c r="L7" s="969">
        <f t="shared" si="3"/>
        <v>4504</v>
      </c>
      <c r="M7" s="969">
        <f t="shared" ref="M7" si="4">+M5+M6</f>
        <v>0</v>
      </c>
      <c r="N7" s="969">
        <f t="shared" ref="N7:O7" si="5">SUM(N6)</f>
        <v>0</v>
      </c>
      <c r="O7" s="1075">
        <f t="shared" si="5"/>
        <v>0</v>
      </c>
      <c r="P7" s="722"/>
      <c r="Q7" s="45"/>
      <c r="R7" s="45"/>
      <c r="S7" s="45"/>
      <c r="T7" s="45"/>
      <c r="U7" s="45"/>
    </row>
    <row r="8" spans="1:21" ht="12" customHeight="1" x14ac:dyDescent="0.2">
      <c r="A8" s="409"/>
      <c r="B8" s="8"/>
      <c r="C8" s="986"/>
      <c r="D8" s="1076"/>
      <c r="E8" s="1061"/>
      <c r="F8" s="1077"/>
      <c r="G8" s="1061"/>
      <c r="H8" s="1061"/>
      <c r="I8" s="1061"/>
      <c r="J8" s="1061"/>
      <c r="K8" s="1061"/>
      <c r="L8" s="1061"/>
      <c r="M8" s="1061"/>
      <c r="N8" s="1061"/>
      <c r="O8" s="1077"/>
      <c r="P8" s="24"/>
      <c r="Q8" s="24"/>
      <c r="R8" s="25"/>
      <c r="S8" s="24"/>
      <c r="T8" s="24"/>
      <c r="U8" s="25"/>
    </row>
    <row r="9" spans="1:21" s="37" customFormat="1" ht="12" customHeight="1" x14ac:dyDescent="0.2">
      <c r="A9" s="726" t="s">
        <v>35</v>
      </c>
      <c r="B9" s="1239" t="s">
        <v>171</v>
      </c>
      <c r="C9" s="1291"/>
      <c r="D9" s="1078">
        <f>+G9+J9+M9+P9+S9</f>
        <v>2925</v>
      </c>
      <c r="E9" s="967">
        <f t="shared" ref="E9:F9" si="6">+H9+K9+N9+Q9+T9</f>
        <v>0</v>
      </c>
      <c r="F9" s="1079">
        <f t="shared" si="6"/>
        <v>2925</v>
      </c>
      <c r="G9" s="1080">
        <v>2218</v>
      </c>
      <c r="H9" s="1080"/>
      <c r="I9" s="1080">
        <f>+H9+G9</f>
        <v>2218</v>
      </c>
      <c r="J9" s="1080">
        <v>707</v>
      </c>
      <c r="K9" s="1080"/>
      <c r="L9" s="1080">
        <f>+K9+J9</f>
        <v>707</v>
      </c>
      <c r="M9" s="1080"/>
      <c r="N9" s="1080"/>
      <c r="O9" s="1081">
        <f>+N9+M9</f>
        <v>0</v>
      </c>
      <c r="P9" s="723"/>
      <c r="Q9" s="44"/>
      <c r="R9" s="44"/>
      <c r="S9" s="44"/>
      <c r="T9" s="44"/>
      <c r="U9" s="44"/>
    </row>
    <row r="10" spans="1:21" s="34" customFormat="1" ht="11.25" customHeight="1" x14ac:dyDescent="0.2">
      <c r="A10" s="727"/>
      <c r="B10" s="197"/>
      <c r="C10" s="732"/>
      <c r="D10" s="1076"/>
      <c r="E10" s="1082"/>
      <c r="F10" s="1083"/>
      <c r="G10" s="1082"/>
      <c r="H10" s="1082"/>
      <c r="I10" s="1082"/>
      <c r="J10" s="1084"/>
      <c r="K10" s="1084"/>
      <c r="L10" s="1084"/>
      <c r="M10" s="1084"/>
      <c r="N10" s="1084"/>
      <c r="O10" s="1085"/>
      <c r="P10" s="196"/>
      <c r="Q10" s="196"/>
      <c r="R10" s="196"/>
      <c r="S10" s="196"/>
      <c r="T10" s="196"/>
      <c r="U10" s="196"/>
    </row>
    <row r="11" spans="1:21" ht="12" customHeight="1" x14ac:dyDescent="0.2">
      <c r="A11" s="505" t="s">
        <v>42</v>
      </c>
      <c r="B11" s="1236" t="s">
        <v>41</v>
      </c>
      <c r="C11" s="1235"/>
      <c r="D11" s="1048">
        <f t="shared" ref="D11:D34" si="7">+G11+J11+M11+P11+S11</f>
        <v>110</v>
      </c>
      <c r="E11" s="446">
        <f t="shared" ref="E11" si="8">+H11+K11+N11+Q11+T11</f>
        <v>0</v>
      </c>
      <c r="F11" s="747">
        <f t="shared" ref="F11" si="9">+I11+L11+O11+R11+U11</f>
        <v>110</v>
      </c>
      <c r="G11" s="446">
        <f>50+10+50</f>
        <v>110</v>
      </c>
      <c r="H11" s="446"/>
      <c r="I11" s="446">
        <f>+H11+G11</f>
        <v>110</v>
      </c>
      <c r="J11" s="446"/>
      <c r="K11" s="446"/>
      <c r="L11" s="446">
        <f>+K11+J11</f>
        <v>0</v>
      </c>
      <c r="M11" s="446"/>
      <c r="N11" s="446"/>
      <c r="O11" s="747">
        <f>+N11+M11</f>
        <v>0</v>
      </c>
      <c r="P11" s="25"/>
      <c r="Q11" s="23"/>
      <c r="R11" s="23"/>
      <c r="S11" s="23"/>
      <c r="T11" s="23"/>
      <c r="U11" s="23"/>
    </row>
    <row r="12" spans="1:21" ht="12" customHeight="1" x14ac:dyDescent="0.2">
      <c r="A12" s="505" t="s">
        <v>44</v>
      </c>
      <c r="B12" s="1236" t="s">
        <v>43</v>
      </c>
      <c r="C12" s="1235"/>
      <c r="D12" s="1048">
        <f t="shared" ref="D12:D13" si="10">+G12+J12+M12+P12+S12</f>
        <v>240</v>
      </c>
      <c r="E12" s="446">
        <f t="shared" ref="E12:E13" si="11">+H12+K12+N12+Q12+T12</f>
        <v>0</v>
      </c>
      <c r="F12" s="747">
        <f t="shared" ref="F12:F13" si="12">+I12+L12+O12+R12+U12</f>
        <v>240</v>
      </c>
      <c r="G12" s="446">
        <f>100+60+20</f>
        <v>180</v>
      </c>
      <c r="H12" s="446"/>
      <c r="I12" s="446">
        <f t="shared" ref="I12:I13" si="13">+H12+G12</f>
        <v>180</v>
      </c>
      <c r="J12" s="446">
        <f>20+30</f>
        <v>50</v>
      </c>
      <c r="K12" s="446"/>
      <c r="L12" s="446">
        <f t="shared" ref="L12:L13" si="14">+K12+J12</f>
        <v>50</v>
      </c>
      <c r="M12" s="446">
        <v>10</v>
      </c>
      <c r="N12" s="446"/>
      <c r="O12" s="747">
        <f t="shared" ref="O12:O13" si="15">+N12+M12</f>
        <v>10</v>
      </c>
      <c r="P12" s="25"/>
      <c r="Q12" s="23"/>
      <c r="R12" s="23"/>
      <c r="S12" s="23"/>
      <c r="T12" s="23"/>
      <c r="U12" s="23"/>
    </row>
    <row r="13" spans="1:21" ht="12" customHeight="1" x14ac:dyDescent="0.2">
      <c r="A13" s="505" t="s">
        <v>46</v>
      </c>
      <c r="B13" s="1236" t="s">
        <v>45</v>
      </c>
      <c r="C13" s="1235"/>
      <c r="D13" s="1048">
        <f t="shared" si="10"/>
        <v>0</v>
      </c>
      <c r="E13" s="446">
        <f t="shared" si="11"/>
        <v>0</v>
      </c>
      <c r="F13" s="747">
        <f t="shared" si="12"/>
        <v>0</v>
      </c>
      <c r="G13" s="446"/>
      <c r="H13" s="446"/>
      <c r="I13" s="446">
        <f t="shared" si="13"/>
        <v>0</v>
      </c>
      <c r="J13" s="446"/>
      <c r="K13" s="446"/>
      <c r="L13" s="446">
        <f t="shared" si="14"/>
        <v>0</v>
      </c>
      <c r="M13" s="446"/>
      <c r="N13" s="446"/>
      <c r="O13" s="747">
        <f t="shared" si="15"/>
        <v>0</v>
      </c>
      <c r="P13" s="25"/>
      <c r="Q13" s="23"/>
      <c r="R13" s="23"/>
      <c r="S13" s="23"/>
      <c r="T13" s="23"/>
      <c r="U13" s="23"/>
    </row>
    <row r="14" spans="1:21" s="37" customFormat="1" ht="12" customHeight="1" x14ac:dyDescent="0.2">
      <c r="A14" s="503" t="s">
        <v>47</v>
      </c>
      <c r="B14" s="1240" t="s">
        <v>170</v>
      </c>
      <c r="C14" s="1225"/>
      <c r="D14" s="1086">
        <f t="shared" si="7"/>
        <v>350</v>
      </c>
      <c r="E14" s="703">
        <f>SUM(E11:E13)</f>
        <v>0</v>
      </c>
      <c r="F14" s="1042">
        <f>SUM(F11:F13)</f>
        <v>350</v>
      </c>
      <c r="G14" s="703">
        <f>SUM(G11:G13)</f>
        <v>290</v>
      </c>
      <c r="H14" s="703">
        <f t="shared" ref="H14:U14" si="16">SUM(H11:H13)</f>
        <v>0</v>
      </c>
      <c r="I14" s="703">
        <f t="shared" si="16"/>
        <v>290</v>
      </c>
      <c r="J14" s="703">
        <f t="shared" ref="J14" si="17">SUM(J11:J13)</f>
        <v>50</v>
      </c>
      <c r="K14" s="703">
        <f t="shared" si="16"/>
        <v>0</v>
      </c>
      <c r="L14" s="703">
        <f t="shared" si="16"/>
        <v>50</v>
      </c>
      <c r="M14" s="703">
        <f t="shared" ref="M14" si="18">SUM(M11:M13)</f>
        <v>10</v>
      </c>
      <c r="N14" s="703">
        <f t="shared" si="16"/>
        <v>0</v>
      </c>
      <c r="O14" s="1042">
        <f t="shared" si="16"/>
        <v>10</v>
      </c>
      <c r="P14" s="559">
        <f t="shared" si="16"/>
        <v>0</v>
      </c>
      <c r="Q14" s="47">
        <f t="shared" si="16"/>
        <v>0</v>
      </c>
      <c r="R14" s="47">
        <f t="shared" si="16"/>
        <v>0</v>
      </c>
      <c r="S14" s="47">
        <f t="shared" si="16"/>
        <v>0</v>
      </c>
      <c r="T14" s="47">
        <f t="shared" si="16"/>
        <v>0</v>
      </c>
      <c r="U14" s="47">
        <f t="shared" si="16"/>
        <v>0</v>
      </c>
    </row>
    <row r="15" spans="1:21" ht="12" customHeight="1" x14ac:dyDescent="0.2">
      <c r="A15" s="505" t="s">
        <v>49</v>
      </c>
      <c r="B15" s="1236" t="s">
        <v>48</v>
      </c>
      <c r="C15" s="1235"/>
      <c r="D15" s="1087">
        <f t="shared" si="7"/>
        <v>313</v>
      </c>
      <c r="E15" s="1062">
        <f t="shared" ref="E15" si="19">+H15+K15+N15+Q15+T15</f>
        <v>0</v>
      </c>
      <c r="F15" s="1088">
        <f t="shared" ref="F15" si="20">+I15+L15+O15+R15+U15</f>
        <v>313</v>
      </c>
      <c r="G15" s="446">
        <v>30</v>
      </c>
      <c r="H15" s="446"/>
      <c r="I15" s="446">
        <f>+H15+G15</f>
        <v>30</v>
      </c>
      <c r="J15" s="446">
        <f>108+85</f>
        <v>193</v>
      </c>
      <c r="K15" s="446"/>
      <c r="L15" s="446">
        <f>+K15+J15</f>
        <v>193</v>
      </c>
      <c r="M15" s="446">
        <v>90</v>
      </c>
      <c r="N15" s="446"/>
      <c r="O15" s="747">
        <f>+N15+M15</f>
        <v>90</v>
      </c>
      <c r="P15" s="25"/>
      <c r="Q15" s="23"/>
      <c r="R15" s="23"/>
      <c r="S15" s="23"/>
      <c r="T15" s="23"/>
      <c r="U15" s="23"/>
    </row>
    <row r="16" spans="1:21" ht="12" customHeight="1" x14ac:dyDescent="0.2">
      <c r="A16" s="505" t="s">
        <v>51</v>
      </c>
      <c r="B16" s="1236" t="s">
        <v>50</v>
      </c>
      <c r="C16" s="1235"/>
      <c r="D16" s="1087">
        <f t="shared" ref="D16" si="21">+G16+J16+M16+P16+S16</f>
        <v>100</v>
      </c>
      <c r="E16" s="1062">
        <f t="shared" ref="E16" si="22">+H16+K16+N16+Q16+T16</f>
        <v>0</v>
      </c>
      <c r="F16" s="1088">
        <f t="shared" ref="F16" si="23">+I16+L16+O16+R16+U16</f>
        <v>100</v>
      </c>
      <c r="G16" s="446">
        <v>100</v>
      </c>
      <c r="H16" s="446"/>
      <c r="I16" s="446">
        <f>+H16+G16</f>
        <v>100</v>
      </c>
      <c r="J16" s="446"/>
      <c r="K16" s="446"/>
      <c r="L16" s="446">
        <f>+K16+J16</f>
        <v>0</v>
      </c>
      <c r="M16" s="446"/>
      <c r="N16" s="446"/>
      <c r="O16" s="747">
        <f>+N16+M16</f>
        <v>0</v>
      </c>
      <c r="P16" s="25"/>
      <c r="Q16" s="23"/>
      <c r="R16" s="23"/>
      <c r="S16" s="23"/>
      <c r="T16" s="23"/>
      <c r="U16" s="23"/>
    </row>
    <row r="17" spans="1:21" s="37" customFormat="1" ht="12" customHeight="1" x14ac:dyDescent="0.2">
      <c r="A17" s="503" t="s">
        <v>52</v>
      </c>
      <c r="B17" s="1240" t="s">
        <v>169</v>
      </c>
      <c r="C17" s="1225"/>
      <c r="D17" s="1086">
        <f t="shared" si="7"/>
        <v>413</v>
      </c>
      <c r="E17" s="703">
        <f>+E15+E16</f>
        <v>0</v>
      </c>
      <c r="F17" s="1042">
        <f>+F15+F16</f>
        <v>413</v>
      </c>
      <c r="G17" s="703">
        <f>+G15+G16</f>
        <v>130</v>
      </c>
      <c r="H17" s="703">
        <f t="shared" ref="H17:U17" si="24">+H15+H16</f>
        <v>0</v>
      </c>
      <c r="I17" s="703">
        <f t="shared" si="24"/>
        <v>130</v>
      </c>
      <c r="J17" s="703">
        <f t="shared" si="24"/>
        <v>193</v>
      </c>
      <c r="K17" s="703">
        <f t="shared" si="24"/>
        <v>0</v>
      </c>
      <c r="L17" s="703">
        <f t="shared" si="24"/>
        <v>193</v>
      </c>
      <c r="M17" s="703">
        <f t="shared" si="24"/>
        <v>90</v>
      </c>
      <c r="N17" s="703">
        <f t="shared" si="24"/>
        <v>0</v>
      </c>
      <c r="O17" s="1042">
        <f t="shared" si="24"/>
        <v>90</v>
      </c>
      <c r="P17" s="559">
        <f t="shared" si="24"/>
        <v>0</v>
      </c>
      <c r="Q17" s="47">
        <f t="shared" si="24"/>
        <v>0</v>
      </c>
      <c r="R17" s="47">
        <f t="shared" si="24"/>
        <v>0</v>
      </c>
      <c r="S17" s="47">
        <f t="shared" si="24"/>
        <v>0</v>
      </c>
      <c r="T17" s="47">
        <f t="shared" si="24"/>
        <v>0</v>
      </c>
      <c r="U17" s="47">
        <f t="shared" si="24"/>
        <v>0</v>
      </c>
    </row>
    <row r="18" spans="1:21" ht="12" customHeight="1" x14ac:dyDescent="0.2">
      <c r="A18" s="505" t="s">
        <v>54</v>
      </c>
      <c r="B18" s="1236" t="s">
        <v>53</v>
      </c>
      <c r="C18" s="1235"/>
      <c r="D18" s="1087">
        <f t="shared" si="7"/>
        <v>0</v>
      </c>
      <c r="E18" s="1062">
        <f t="shared" ref="E18" si="25">+H18+K18+N18+Q18+T18</f>
        <v>0</v>
      </c>
      <c r="F18" s="1088">
        <f t="shared" ref="F18" si="26">+I18+L18+O18+R18+U18</f>
        <v>0</v>
      </c>
      <c r="G18" s="446"/>
      <c r="H18" s="446"/>
      <c r="I18" s="446">
        <f>+H18+G18</f>
        <v>0</v>
      </c>
      <c r="J18" s="446"/>
      <c r="K18" s="446"/>
      <c r="L18" s="446">
        <f>+K18+J18</f>
        <v>0</v>
      </c>
      <c r="M18" s="446"/>
      <c r="N18" s="446"/>
      <c r="O18" s="747">
        <f>+N18+M18</f>
        <v>0</v>
      </c>
      <c r="P18" s="25"/>
      <c r="Q18" s="23"/>
      <c r="R18" s="23"/>
      <c r="S18" s="23"/>
      <c r="T18" s="23"/>
      <c r="U18" s="23"/>
    </row>
    <row r="19" spans="1:21" ht="12" customHeight="1" x14ac:dyDescent="0.2">
      <c r="A19" s="505" t="s">
        <v>56</v>
      </c>
      <c r="B19" s="1236" t="s">
        <v>55</v>
      </c>
      <c r="C19" s="1235"/>
      <c r="D19" s="1087">
        <f t="shared" ref="D19:D24" si="27">+G19+J19+M19+P19+S19</f>
        <v>0</v>
      </c>
      <c r="E19" s="1062">
        <f t="shared" ref="E19:E24" si="28">+H19+K19+N19+Q19+T19</f>
        <v>0</v>
      </c>
      <c r="F19" s="1088">
        <f t="shared" ref="F19:F24" si="29">+I19+L19+O19+R19+U19</f>
        <v>0</v>
      </c>
      <c r="G19" s="446"/>
      <c r="H19" s="446"/>
      <c r="I19" s="446">
        <f t="shared" ref="I19:I24" si="30">+H19+G19</f>
        <v>0</v>
      </c>
      <c r="J19" s="446"/>
      <c r="K19" s="446"/>
      <c r="L19" s="446">
        <f t="shared" ref="L19:L24" si="31">+K19+J19</f>
        <v>0</v>
      </c>
      <c r="M19" s="446"/>
      <c r="N19" s="446"/>
      <c r="O19" s="747">
        <f t="shared" ref="O19:O24" si="32">+N19+M19</f>
        <v>0</v>
      </c>
      <c r="P19" s="25"/>
      <c r="Q19" s="23"/>
      <c r="R19" s="23"/>
      <c r="S19" s="23"/>
      <c r="T19" s="23"/>
      <c r="U19" s="23"/>
    </row>
    <row r="20" spans="1:21" ht="12" customHeight="1" x14ac:dyDescent="0.2">
      <c r="A20" s="505" t="s">
        <v>57</v>
      </c>
      <c r="B20" s="1236" t="s">
        <v>167</v>
      </c>
      <c r="C20" s="1235"/>
      <c r="D20" s="1087">
        <f t="shared" si="27"/>
        <v>0</v>
      </c>
      <c r="E20" s="1062">
        <f t="shared" si="28"/>
        <v>0</v>
      </c>
      <c r="F20" s="1088">
        <f t="shared" si="29"/>
        <v>0</v>
      </c>
      <c r="G20" s="446"/>
      <c r="H20" s="446"/>
      <c r="I20" s="446">
        <f t="shared" si="30"/>
        <v>0</v>
      </c>
      <c r="J20" s="446"/>
      <c r="K20" s="446"/>
      <c r="L20" s="446">
        <f t="shared" si="31"/>
        <v>0</v>
      </c>
      <c r="M20" s="446"/>
      <c r="N20" s="446"/>
      <c r="O20" s="747">
        <f t="shared" si="32"/>
        <v>0</v>
      </c>
      <c r="P20" s="25"/>
      <c r="Q20" s="23"/>
      <c r="R20" s="23"/>
      <c r="S20" s="23"/>
      <c r="T20" s="23"/>
      <c r="U20" s="23"/>
    </row>
    <row r="21" spans="1:21" ht="12" customHeight="1" x14ac:dyDescent="0.2">
      <c r="A21" s="505" t="s">
        <v>59</v>
      </c>
      <c r="B21" s="1236" t="s">
        <v>58</v>
      </c>
      <c r="C21" s="1235"/>
      <c r="D21" s="1087">
        <f t="shared" si="27"/>
        <v>0</v>
      </c>
      <c r="E21" s="1062">
        <f t="shared" si="28"/>
        <v>0</v>
      </c>
      <c r="F21" s="1088">
        <f t="shared" si="29"/>
        <v>0</v>
      </c>
      <c r="G21" s="446"/>
      <c r="H21" s="446"/>
      <c r="I21" s="446">
        <f t="shared" si="30"/>
        <v>0</v>
      </c>
      <c r="J21" s="446"/>
      <c r="K21" s="446"/>
      <c r="L21" s="446">
        <f t="shared" si="31"/>
        <v>0</v>
      </c>
      <c r="M21" s="446"/>
      <c r="N21" s="446"/>
      <c r="O21" s="747">
        <f t="shared" si="32"/>
        <v>0</v>
      </c>
      <c r="P21" s="25"/>
      <c r="Q21" s="23"/>
      <c r="R21" s="23"/>
      <c r="S21" s="23"/>
      <c r="T21" s="23"/>
      <c r="U21" s="23"/>
    </row>
    <row r="22" spans="1:21" ht="12" customHeight="1" x14ac:dyDescent="0.2">
      <c r="A22" s="505" t="s">
        <v>60</v>
      </c>
      <c r="B22" s="1236" t="s">
        <v>166</v>
      </c>
      <c r="C22" s="1235"/>
      <c r="D22" s="1087">
        <f t="shared" si="27"/>
        <v>0</v>
      </c>
      <c r="E22" s="1062">
        <f t="shared" si="28"/>
        <v>0</v>
      </c>
      <c r="F22" s="1088">
        <f t="shared" si="29"/>
        <v>0</v>
      </c>
      <c r="G22" s="446"/>
      <c r="H22" s="446"/>
      <c r="I22" s="446">
        <f t="shared" si="30"/>
        <v>0</v>
      </c>
      <c r="J22" s="446"/>
      <c r="K22" s="446"/>
      <c r="L22" s="446">
        <f t="shared" si="31"/>
        <v>0</v>
      </c>
      <c r="M22" s="446"/>
      <c r="N22" s="446"/>
      <c r="O22" s="747">
        <f t="shared" si="32"/>
        <v>0</v>
      </c>
      <c r="P22" s="25"/>
      <c r="Q22" s="23"/>
      <c r="R22" s="23"/>
      <c r="S22" s="23"/>
      <c r="T22" s="23"/>
      <c r="U22" s="23"/>
    </row>
    <row r="23" spans="1:21" ht="12" customHeight="1" x14ac:dyDescent="0.2">
      <c r="A23" s="505" t="s">
        <v>63</v>
      </c>
      <c r="B23" s="1236" t="s">
        <v>62</v>
      </c>
      <c r="C23" s="1235"/>
      <c r="D23" s="1087">
        <f t="shared" si="27"/>
        <v>1941</v>
      </c>
      <c r="E23" s="1062">
        <f t="shared" si="28"/>
        <v>0</v>
      </c>
      <c r="F23" s="1088">
        <f t="shared" si="29"/>
        <v>1941</v>
      </c>
      <c r="G23" s="446"/>
      <c r="H23" s="446"/>
      <c r="I23" s="446">
        <f t="shared" si="30"/>
        <v>0</v>
      </c>
      <c r="J23" s="446">
        <f>544+5</f>
        <v>549</v>
      </c>
      <c r="K23" s="446"/>
      <c r="L23" s="446">
        <f t="shared" si="31"/>
        <v>549</v>
      </c>
      <c r="M23" s="446">
        <v>1392</v>
      </c>
      <c r="N23" s="446"/>
      <c r="O23" s="747">
        <f t="shared" si="32"/>
        <v>1392</v>
      </c>
      <c r="P23" s="25"/>
      <c r="Q23" s="23"/>
      <c r="R23" s="23"/>
      <c r="S23" s="23"/>
      <c r="T23" s="23"/>
      <c r="U23" s="23"/>
    </row>
    <row r="24" spans="1:21" ht="12" customHeight="1" x14ac:dyDescent="0.2">
      <c r="A24" s="505" t="s">
        <v>65</v>
      </c>
      <c r="B24" s="1236" t="s">
        <v>64</v>
      </c>
      <c r="C24" s="1235"/>
      <c r="D24" s="1087">
        <f t="shared" si="27"/>
        <v>507</v>
      </c>
      <c r="E24" s="1062">
        <f t="shared" si="28"/>
        <v>0</v>
      </c>
      <c r="F24" s="1088">
        <f t="shared" si="29"/>
        <v>507</v>
      </c>
      <c r="G24" s="446">
        <f>36+100+51</f>
        <v>187</v>
      </c>
      <c r="H24" s="446"/>
      <c r="I24" s="446">
        <f t="shared" si="30"/>
        <v>187</v>
      </c>
      <c r="J24" s="446"/>
      <c r="K24" s="446"/>
      <c r="L24" s="446">
        <f t="shared" si="31"/>
        <v>0</v>
      </c>
      <c r="M24" s="446">
        <f>240+80</f>
        <v>320</v>
      </c>
      <c r="N24" s="446"/>
      <c r="O24" s="747">
        <f t="shared" si="32"/>
        <v>320</v>
      </c>
      <c r="P24" s="25"/>
      <c r="Q24" s="23"/>
      <c r="R24" s="23"/>
      <c r="S24" s="23"/>
      <c r="T24" s="23"/>
      <c r="U24" s="23"/>
    </row>
    <row r="25" spans="1:21" s="37" customFormat="1" ht="12" customHeight="1" x14ac:dyDescent="0.2">
      <c r="A25" s="503" t="s">
        <v>66</v>
      </c>
      <c r="B25" s="1240" t="s">
        <v>156</v>
      </c>
      <c r="C25" s="1225"/>
      <c r="D25" s="1086">
        <f t="shared" si="7"/>
        <v>2448</v>
      </c>
      <c r="E25" s="703">
        <f t="shared" ref="E25:U25" si="33">+E24+E23+E22+E21+E20+E19+E18</f>
        <v>0</v>
      </c>
      <c r="F25" s="1042">
        <f t="shared" si="33"/>
        <v>2448</v>
      </c>
      <c r="G25" s="703">
        <f t="shared" si="33"/>
        <v>187</v>
      </c>
      <c r="H25" s="703">
        <f t="shared" si="33"/>
        <v>0</v>
      </c>
      <c r="I25" s="703">
        <f t="shared" si="33"/>
        <v>187</v>
      </c>
      <c r="J25" s="703">
        <f t="shared" si="33"/>
        <v>549</v>
      </c>
      <c r="K25" s="703">
        <f t="shared" si="33"/>
        <v>0</v>
      </c>
      <c r="L25" s="703">
        <f t="shared" si="33"/>
        <v>549</v>
      </c>
      <c r="M25" s="703">
        <f t="shared" si="33"/>
        <v>1712</v>
      </c>
      <c r="N25" s="703">
        <f t="shared" si="33"/>
        <v>0</v>
      </c>
      <c r="O25" s="1042">
        <f t="shared" si="33"/>
        <v>1712</v>
      </c>
      <c r="P25" s="559">
        <f t="shared" si="33"/>
        <v>0</v>
      </c>
      <c r="Q25" s="47">
        <f t="shared" si="33"/>
        <v>0</v>
      </c>
      <c r="R25" s="47">
        <f t="shared" si="33"/>
        <v>0</v>
      </c>
      <c r="S25" s="47">
        <f t="shared" si="33"/>
        <v>0</v>
      </c>
      <c r="T25" s="47">
        <f t="shared" si="33"/>
        <v>0</v>
      </c>
      <c r="U25" s="47">
        <f t="shared" si="33"/>
        <v>0</v>
      </c>
    </row>
    <row r="26" spans="1:21" ht="12" customHeight="1" x14ac:dyDescent="0.2">
      <c r="A26" s="505" t="s">
        <v>68</v>
      </c>
      <c r="B26" s="1236" t="s">
        <v>67</v>
      </c>
      <c r="C26" s="1235"/>
      <c r="D26" s="1087">
        <f t="shared" si="7"/>
        <v>280</v>
      </c>
      <c r="E26" s="1062">
        <f t="shared" ref="E26" si="34">+H26+K26+N26+Q26+T26</f>
        <v>0</v>
      </c>
      <c r="F26" s="1088">
        <f t="shared" ref="F26" si="35">+I26+L26+O26+R26+U26</f>
        <v>280</v>
      </c>
      <c r="G26" s="446">
        <v>200</v>
      </c>
      <c r="H26" s="446"/>
      <c r="I26" s="446">
        <f>+H26+G26</f>
        <v>200</v>
      </c>
      <c r="J26" s="446">
        <v>80</v>
      </c>
      <c r="K26" s="446"/>
      <c r="L26" s="446">
        <f>+K26+J26</f>
        <v>80</v>
      </c>
      <c r="M26" s="446"/>
      <c r="N26" s="446"/>
      <c r="O26" s="747">
        <f>+N26+M26</f>
        <v>0</v>
      </c>
      <c r="P26" s="25"/>
      <c r="Q26" s="23"/>
      <c r="R26" s="23"/>
      <c r="S26" s="23"/>
      <c r="T26" s="23"/>
      <c r="U26" s="23"/>
    </row>
    <row r="27" spans="1:21" ht="12" customHeight="1" x14ac:dyDescent="0.2">
      <c r="A27" s="505" t="s">
        <v>70</v>
      </c>
      <c r="B27" s="1236" t="s">
        <v>69</v>
      </c>
      <c r="C27" s="1235"/>
      <c r="D27" s="1087">
        <f t="shared" ref="D27" si="36">+G27+J27+M27+P27+S27</f>
        <v>0</v>
      </c>
      <c r="E27" s="1062">
        <f t="shared" ref="E27:E29" si="37">+H27+K27+N27+Q27+T27</f>
        <v>0</v>
      </c>
      <c r="F27" s="1088">
        <f t="shared" ref="F27:F29" si="38">+I27+L27+O27+R27+U27</f>
        <v>0</v>
      </c>
      <c r="G27" s="446"/>
      <c r="H27" s="446"/>
      <c r="I27" s="446">
        <f>+H27+G27</f>
        <v>0</v>
      </c>
      <c r="J27" s="446"/>
      <c r="K27" s="446"/>
      <c r="L27" s="446">
        <f>+K27+J27</f>
        <v>0</v>
      </c>
      <c r="M27" s="446"/>
      <c r="N27" s="446"/>
      <c r="O27" s="747">
        <f>+N27+M27</f>
        <v>0</v>
      </c>
      <c r="P27" s="25"/>
      <c r="Q27" s="23"/>
      <c r="R27" s="23"/>
      <c r="S27" s="23"/>
      <c r="T27" s="23"/>
      <c r="U27" s="23"/>
    </row>
    <row r="28" spans="1:21" s="37" customFormat="1" ht="12" customHeight="1" x14ac:dyDescent="0.2">
      <c r="A28" s="503" t="s">
        <v>71</v>
      </c>
      <c r="B28" s="1240" t="s">
        <v>155</v>
      </c>
      <c r="C28" s="1225"/>
      <c r="D28" s="1086">
        <f t="shared" si="7"/>
        <v>280</v>
      </c>
      <c r="E28" s="1080">
        <f t="shared" si="37"/>
        <v>0</v>
      </c>
      <c r="F28" s="1081">
        <f t="shared" si="38"/>
        <v>280</v>
      </c>
      <c r="G28" s="703">
        <f>+G26+G27</f>
        <v>200</v>
      </c>
      <c r="H28" s="703">
        <f t="shared" ref="H28:U28" si="39">+H26+H27</f>
        <v>0</v>
      </c>
      <c r="I28" s="703">
        <f t="shared" si="39"/>
        <v>200</v>
      </c>
      <c r="J28" s="703">
        <f t="shared" si="39"/>
        <v>80</v>
      </c>
      <c r="K28" s="703">
        <f t="shared" si="39"/>
        <v>0</v>
      </c>
      <c r="L28" s="703">
        <f t="shared" si="39"/>
        <v>80</v>
      </c>
      <c r="M28" s="703">
        <f t="shared" si="39"/>
        <v>0</v>
      </c>
      <c r="N28" s="703">
        <f t="shared" si="39"/>
        <v>0</v>
      </c>
      <c r="O28" s="1042">
        <f t="shared" si="39"/>
        <v>0</v>
      </c>
      <c r="P28" s="559">
        <f t="shared" si="39"/>
        <v>0</v>
      </c>
      <c r="Q28" s="47">
        <f t="shared" si="39"/>
        <v>0</v>
      </c>
      <c r="R28" s="47">
        <f t="shared" si="39"/>
        <v>0</v>
      </c>
      <c r="S28" s="47">
        <f t="shared" si="39"/>
        <v>0</v>
      </c>
      <c r="T28" s="47">
        <f t="shared" si="39"/>
        <v>0</v>
      </c>
      <c r="U28" s="47">
        <f t="shared" si="39"/>
        <v>0</v>
      </c>
    </row>
    <row r="29" spans="1:21" ht="12" customHeight="1" x14ac:dyDescent="0.2">
      <c r="A29" s="505" t="s">
        <v>73</v>
      </c>
      <c r="B29" s="1236" t="s">
        <v>72</v>
      </c>
      <c r="C29" s="1235"/>
      <c r="D29" s="1087">
        <f t="shared" si="7"/>
        <v>247</v>
      </c>
      <c r="E29" s="1062">
        <f t="shared" si="37"/>
        <v>0</v>
      </c>
      <c r="F29" s="1088">
        <f t="shared" si="38"/>
        <v>247</v>
      </c>
      <c r="G29" s="446">
        <f>125+14</f>
        <v>139</v>
      </c>
      <c r="H29" s="446"/>
      <c r="I29" s="446">
        <f>+H29+G29</f>
        <v>139</v>
      </c>
      <c r="J29" s="446">
        <v>58</v>
      </c>
      <c r="K29" s="446"/>
      <c r="L29" s="446">
        <f>+K29+J29</f>
        <v>58</v>
      </c>
      <c r="M29" s="446">
        <v>50</v>
      </c>
      <c r="N29" s="446"/>
      <c r="O29" s="747">
        <f>+N29+M29</f>
        <v>50</v>
      </c>
      <c r="P29" s="25"/>
      <c r="Q29" s="23"/>
      <c r="R29" s="23"/>
      <c r="S29" s="23"/>
      <c r="T29" s="23"/>
      <c r="U29" s="23"/>
    </row>
    <row r="30" spans="1:21" ht="12" customHeight="1" x14ac:dyDescent="0.2">
      <c r="A30" s="505" t="s">
        <v>75</v>
      </c>
      <c r="B30" s="1236" t="s">
        <v>74</v>
      </c>
      <c r="C30" s="1235"/>
      <c r="D30" s="1087">
        <f t="shared" ref="D30:D33" si="40">+G30+J30+M30+P30+S30</f>
        <v>0</v>
      </c>
      <c r="E30" s="1062">
        <f t="shared" ref="E30:E34" si="41">+H30+K30+N30+Q30+T30</f>
        <v>0</v>
      </c>
      <c r="F30" s="1088">
        <f t="shared" ref="F30:F34" si="42">+I30+L30+O30+R30+U30</f>
        <v>0</v>
      </c>
      <c r="G30" s="446"/>
      <c r="H30" s="446"/>
      <c r="I30" s="446">
        <f t="shared" ref="I30:I33" si="43">+H30+G30</f>
        <v>0</v>
      </c>
      <c r="J30" s="446"/>
      <c r="K30" s="446"/>
      <c r="L30" s="446">
        <f t="shared" ref="L30:L33" si="44">+K30+J30</f>
        <v>0</v>
      </c>
      <c r="M30" s="446"/>
      <c r="N30" s="446"/>
      <c r="O30" s="747">
        <f t="shared" ref="O30:O33" si="45">+N30+M30</f>
        <v>0</v>
      </c>
      <c r="P30" s="25"/>
      <c r="Q30" s="23"/>
      <c r="R30" s="23"/>
      <c r="S30" s="23"/>
      <c r="T30" s="23"/>
      <c r="U30" s="23"/>
    </row>
    <row r="31" spans="1:21" ht="12" customHeight="1" x14ac:dyDescent="0.2">
      <c r="A31" s="505" t="s">
        <v>76</v>
      </c>
      <c r="B31" s="1236" t="s">
        <v>154</v>
      </c>
      <c r="C31" s="1235"/>
      <c r="D31" s="1087">
        <f t="shared" si="40"/>
        <v>0</v>
      </c>
      <c r="E31" s="1062">
        <f t="shared" si="41"/>
        <v>0</v>
      </c>
      <c r="F31" s="1088">
        <f t="shared" si="42"/>
        <v>0</v>
      </c>
      <c r="G31" s="446"/>
      <c r="H31" s="446"/>
      <c r="I31" s="446">
        <f t="shared" si="43"/>
        <v>0</v>
      </c>
      <c r="J31" s="446"/>
      <c r="K31" s="446"/>
      <c r="L31" s="446">
        <f t="shared" si="44"/>
        <v>0</v>
      </c>
      <c r="M31" s="446"/>
      <c r="N31" s="446"/>
      <c r="O31" s="747">
        <f t="shared" si="45"/>
        <v>0</v>
      </c>
      <c r="P31" s="25"/>
      <c r="Q31" s="23"/>
      <c r="R31" s="23"/>
      <c r="S31" s="23"/>
      <c r="T31" s="23"/>
      <c r="U31" s="23"/>
    </row>
    <row r="32" spans="1:21" ht="12" customHeight="1" x14ac:dyDescent="0.2">
      <c r="A32" s="505" t="s">
        <v>77</v>
      </c>
      <c r="B32" s="1236" t="s">
        <v>153</v>
      </c>
      <c r="C32" s="1235"/>
      <c r="D32" s="1087">
        <f t="shared" si="40"/>
        <v>0</v>
      </c>
      <c r="E32" s="1062">
        <f t="shared" si="41"/>
        <v>0</v>
      </c>
      <c r="F32" s="1088">
        <f t="shared" si="42"/>
        <v>0</v>
      </c>
      <c r="G32" s="446"/>
      <c r="H32" s="446"/>
      <c r="I32" s="446">
        <f t="shared" si="43"/>
        <v>0</v>
      </c>
      <c r="J32" s="446"/>
      <c r="K32" s="446"/>
      <c r="L32" s="446">
        <f t="shared" si="44"/>
        <v>0</v>
      </c>
      <c r="M32" s="446"/>
      <c r="N32" s="446"/>
      <c r="O32" s="747">
        <f t="shared" si="45"/>
        <v>0</v>
      </c>
      <c r="P32" s="25"/>
      <c r="Q32" s="23"/>
      <c r="R32" s="23"/>
      <c r="S32" s="23"/>
      <c r="T32" s="23"/>
      <c r="U32" s="23"/>
    </row>
    <row r="33" spans="1:21" ht="12" customHeight="1" x14ac:dyDescent="0.2">
      <c r="A33" s="505" t="s">
        <v>79</v>
      </c>
      <c r="B33" s="1236" t="s">
        <v>78</v>
      </c>
      <c r="C33" s="1235"/>
      <c r="D33" s="1087">
        <f t="shared" si="40"/>
        <v>0</v>
      </c>
      <c r="E33" s="1062">
        <f t="shared" si="41"/>
        <v>0</v>
      </c>
      <c r="F33" s="1088">
        <f t="shared" si="42"/>
        <v>0</v>
      </c>
      <c r="G33" s="446"/>
      <c r="H33" s="446"/>
      <c r="I33" s="446">
        <f t="shared" si="43"/>
        <v>0</v>
      </c>
      <c r="J33" s="446"/>
      <c r="K33" s="446"/>
      <c r="L33" s="446">
        <f t="shared" si="44"/>
        <v>0</v>
      </c>
      <c r="M33" s="446"/>
      <c r="N33" s="446"/>
      <c r="O33" s="747">
        <f t="shared" si="45"/>
        <v>0</v>
      </c>
      <c r="P33" s="25"/>
      <c r="Q33" s="23"/>
      <c r="R33" s="23"/>
      <c r="S33" s="23"/>
      <c r="T33" s="23"/>
      <c r="U33" s="23"/>
    </row>
    <row r="34" spans="1:21" s="37" customFormat="1" ht="12" customHeight="1" x14ac:dyDescent="0.2">
      <c r="A34" s="503" t="s">
        <v>80</v>
      </c>
      <c r="B34" s="1240" t="s">
        <v>152</v>
      </c>
      <c r="C34" s="1225"/>
      <c r="D34" s="1086">
        <f t="shared" si="7"/>
        <v>247</v>
      </c>
      <c r="E34" s="1080">
        <f t="shared" si="41"/>
        <v>0</v>
      </c>
      <c r="F34" s="1081">
        <f t="shared" si="42"/>
        <v>247</v>
      </c>
      <c r="G34" s="703">
        <f>SUM(G29:G33)</f>
        <v>139</v>
      </c>
      <c r="H34" s="703">
        <f t="shared" ref="H34:U34" si="46">SUM(H29:H33)</f>
        <v>0</v>
      </c>
      <c r="I34" s="703">
        <f t="shared" si="46"/>
        <v>139</v>
      </c>
      <c r="J34" s="703">
        <f t="shared" ref="J34" si="47">SUM(J29:J33)</f>
        <v>58</v>
      </c>
      <c r="K34" s="703">
        <f t="shared" si="46"/>
        <v>0</v>
      </c>
      <c r="L34" s="703">
        <f t="shared" si="46"/>
        <v>58</v>
      </c>
      <c r="M34" s="703">
        <f t="shared" ref="M34" si="48">SUM(M29:M33)</f>
        <v>50</v>
      </c>
      <c r="N34" s="703">
        <f t="shared" si="46"/>
        <v>0</v>
      </c>
      <c r="O34" s="1042">
        <f t="shared" si="46"/>
        <v>50</v>
      </c>
      <c r="P34" s="559">
        <f t="shared" si="46"/>
        <v>0</v>
      </c>
      <c r="Q34" s="47">
        <f t="shared" si="46"/>
        <v>0</v>
      </c>
      <c r="R34" s="47">
        <f t="shared" si="46"/>
        <v>0</v>
      </c>
      <c r="S34" s="47">
        <f t="shared" si="46"/>
        <v>0</v>
      </c>
      <c r="T34" s="47">
        <f t="shared" si="46"/>
        <v>0</v>
      </c>
      <c r="U34" s="47">
        <f t="shared" si="46"/>
        <v>0</v>
      </c>
    </row>
    <row r="35" spans="1:21" s="37" customFormat="1" ht="12" customHeight="1" x14ac:dyDescent="0.2">
      <c r="A35" s="725" t="s">
        <v>81</v>
      </c>
      <c r="B35" s="1239" t="s">
        <v>151</v>
      </c>
      <c r="C35" s="1291"/>
      <c r="D35" s="1074">
        <f t="shared" ref="D35:U35" si="49">+D34+D28+D25+D17+D14</f>
        <v>3738</v>
      </c>
      <c r="E35" s="969">
        <f t="shared" si="49"/>
        <v>0</v>
      </c>
      <c r="F35" s="1075">
        <f t="shared" si="49"/>
        <v>3738</v>
      </c>
      <c r="G35" s="969">
        <f t="shared" si="49"/>
        <v>946</v>
      </c>
      <c r="H35" s="969">
        <f t="shared" si="49"/>
        <v>0</v>
      </c>
      <c r="I35" s="969">
        <f t="shared" si="49"/>
        <v>946</v>
      </c>
      <c r="J35" s="969">
        <f t="shared" si="49"/>
        <v>930</v>
      </c>
      <c r="K35" s="969">
        <f t="shared" si="49"/>
        <v>0</v>
      </c>
      <c r="L35" s="969">
        <f t="shared" si="49"/>
        <v>930</v>
      </c>
      <c r="M35" s="969">
        <f t="shared" si="49"/>
        <v>1862</v>
      </c>
      <c r="N35" s="969">
        <f t="shared" si="49"/>
        <v>0</v>
      </c>
      <c r="O35" s="1075">
        <f t="shared" si="49"/>
        <v>1862</v>
      </c>
      <c r="P35" s="722">
        <f t="shared" si="49"/>
        <v>0</v>
      </c>
      <c r="Q35" s="45">
        <f t="shared" si="49"/>
        <v>0</v>
      </c>
      <c r="R35" s="45">
        <f t="shared" si="49"/>
        <v>0</v>
      </c>
      <c r="S35" s="45">
        <f t="shared" si="49"/>
        <v>0</v>
      </c>
      <c r="T35" s="45">
        <f t="shared" si="49"/>
        <v>0</v>
      </c>
      <c r="U35" s="45">
        <f t="shared" si="49"/>
        <v>0</v>
      </c>
    </row>
    <row r="36" spans="1:21" ht="9.75" customHeight="1" x14ac:dyDescent="0.2">
      <c r="A36" s="409"/>
      <c r="B36" s="8"/>
      <c r="C36" s="986"/>
      <c r="D36" s="1089"/>
      <c r="E36" s="1061"/>
      <c r="F36" s="1077"/>
      <c r="G36" s="1061"/>
      <c r="H36" s="1061"/>
      <c r="I36" s="746"/>
      <c r="J36" s="1061"/>
      <c r="K36" s="1061"/>
      <c r="L36" s="746"/>
      <c r="M36" s="1061"/>
      <c r="N36" s="1061"/>
      <c r="O36" s="1077"/>
      <c r="P36" s="24"/>
      <c r="Q36" s="24"/>
      <c r="R36" s="25"/>
      <c r="S36" s="24"/>
      <c r="T36" s="24"/>
      <c r="U36" s="25"/>
    </row>
    <row r="37" spans="1:21" ht="12" customHeight="1" x14ac:dyDescent="0.2">
      <c r="A37" s="728" t="s">
        <v>110</v>
      </c>
      <c r="B37" s="1238" t="s">
        <v>109</v>
      </c>
      <c r="C37" s="1233"/>
      <c r="D37" s="1087">
        <f t="shared" ref="D37" si="50">+G37+J37+M37+S37</f>
        <v>0</v>
      </c>
      <c r="E37" s="1062">
        <f t="shared" ref="E37" si="51">+H37+K37+N37+T37</f>
        <v>0</v>
      </c>
      <c r="F37" s="1088">
        <f t="shared" ref="F37" si="52">+I37+L37+O37+U37</f>
        <v>0</v>
      </c>
      <c r="G37" s="1090"/>
      <c r="H37" s="1062"/>
      <c r="I37" s="1062">
        <f>+H37+G37</f>
        <v>0</v>
      </c>
      <c r="J37" s="1062"/>
      <c r="K37" s="1062"/>
      <c r="L37" s="1062">
        <f>+K37+J37</f>
        <v>0</v>
      </c>
      <c r="M37" s="1062"/>
      <c r="N37" s="1062"/>
      <c r="O37" s="1088"/>
      <c r="P37" s="93"/>
      <c r="Q37" s="26"/>
      <c r="R37" s="26"/>
      <c r="S37" s="26"/>
      <c r="T37" s="26"/>
      <c r="U37" s="26"/>
    </row>
    <row r="38" spans="1:21" ht="12" customHeight="1" x14ac:dyDescent="0.2">
      <c r="A38" s="505" t="s">
        <v>111</v>
      </c>
      <c r="B38" s="1236" t="s">
        <v>162</v>
      </c>
      <c r="C38" s="1235"/>
      <c r="D38" s="1087">
        <f t="shared" ref="D38:D44" si="53">+G38+J38+M38+S38</f>
        <v>0</v>
      </c>
      <c r="E38" s="1062">
        <f t="shared" ref="E38:E44" si="54">+H38+K38+N38+T38</f>
        <v>0</v>
      </c>
      <c r="F38" s="1088">
        <f t="shared" ref="F38:F44" si="55">+I38+L38+O38+U38</f>
        <v>0</v>
      </c>
      <c r="G38" s="746"/>
      <c r="H38" s="446"/>
      <c r="I38" s="1062">
        <f t="shared" ref="I38:I44" si="56">+H38+G38</f>
        <v>0</v>
      </c>
      <c r="J38" s="446"/>
      <c r="K38" s="446"/>
      <c r="L38" s="1062">
        <f t="shared" ref="L38:L44" si="57">+K38+J38</f>
        <v>0</v>
      </c>
      <c r="M38" s="446"/>
      <c r="N38" s="446"/>
      <c r="O38" s="747"/>
      <c r="P38" s="25"/>
      <c r="Q38" s="23"/>
      <c r="R38" s="23"/>
      <c r="S38" s="23"/>
      <c r="T38" s="23"/>
      <c r="U38" s="23"/>
    </row>
    <row r="39" spans="1:21" s="34" customFormat="1" ht="12" customHeight="1" x14ac:dyDescent="0.2">
      <c r="A39" s="729" t="s">
        <v>111</v>
      </c>
      <c r="B39" s="33"/>
      <c r="C39" s="733" t="s">
        <v>112</v>
      </c>
      <c r="D39" s="1087">
        <f t="shared" si="53"/>
        <v>0</v>
      </c>
      <c r="E39" s="1062">
        <f t="shared" si="54"/>
        <v>0</v>
      </c>
      <c r="F39" s="1088">
        <f t="shared" si="55"/>
        <v>0</v>
      </c>
      <c r="G39" s="1091"/>
      <c r="H39" s="841"/>
      <c r="I39" s="1062">
        <f t="shared" si="56"/>
        <v>0</v>
      </c>
      <c r="J39" s="841"/>
      <c r="K39" s="841"/>
      <c r="L39" s="1062">
        <f t="shared" si="57"/>
        <v>0</v>
      </c>
      <c r="M39" s="841"/>
      <c r="N39" s="841"/>
      <c r="O39" s="1092"/>
      <c r="P39" s="46"/>
      <c r="Q39" s="42"/>
      <c r="R39" s="42"/>
      <c r="S39" s="42"/>
      <c r="T39" s="42"/>
      <c r="U39" s="42"/>
    </row>
    <row r="40" spans="1:21" ht="12" customHeight="1" x14ac:dyDescent="0.2">
      <c r="A40" s="505" t="s">
        <v>114</v>
      </c>
      <c r="B40" s="1236" t="s">
        <v>113</v>
      </c>
      <c r="C40" s="1235"/>
      <c r="D40" s="1087">
        <f t="shared" si="53"/>
        <v>0</v>
      </c>
      <c r="E40" s="1062">
        <f t="shared" si="54"/>
        <v>0</v>
      </c>
      <c r="F40" s="1088">
        <f t="shared" si="55"/>
        <v>0</v>
      </c>
      <c r="G40" s="746"/>
      <c r="H40" s="446"/>
      <c r="I40" s="1062">
        <f t="shared" si="56"/>
        <v>0</v>
      </c>
      <c r="J40" s="446"/>
      <c r="K40" s="446"/>
      <c r="L40" s="1062">
        <f t="shared" si="57"/>
        <v>0</v>
      </c>
      <c r="M40" s="446"/>
      <c r="N40" s="446"/>
      <c r="O40" s="747"/>
      <c r="P40" s="25"/>
      <c r="Q40" s="23"/>
      <c r="R40" s="23"/>
      <c r="S40" s="23"/>
      <c r="T40" s="23"/>
      <c r="U40" s="23"/>
    </row>
    <row r="41" spans="1:21" ht="12" customHeight="1" x14ac:dyDescent="0.2">
      <c r="A41" s="505" t="s">
        <v>116</v>
      </c>
      <c r="B41" s="1236" t="s">
        <v>115</v>
      </c>
      <c r="C41" s="1235"/>
      <c r="D41" s="1087">
        <f t="shared" si="53"/>
        <v>54</v>
      </c>
      <c r="E41" s="1062">
        <f t="shared" si="54"/>
        <v>0</v>
      </c>
      <c r="F41" s="1088">
        <f t="shared" si="55"/>
        <v>54</v>
      </c>
      <c r="G41" s="746"/>
      <c r="H41" s="446"/>
      <c r="I41" s="1062">
        <f t="shared" si="56"/>
        <v>0</v>
      </c>
      <c r="J41" s="446"/>
      <c r="K41" s="446"/>
      <c r="L41" s="1062">
        <f t="shared" si="57"/>
        <v>0</v>
      </c>
      <c r="M41" s="446">
        <v>54</v>
      </c>
      <c r="N41" s="446"/>
      <c r="O41" s="747">
        <f>+M41+N41</f>
        <v>54</v>
      </c>
      <c r="P41" s="25"/>
      <c r="Q41" s="23"/>
      <c r="R41" s="23"/>
      <c r="S41" s="23"/>
      <c r="T41" s="23"/>
      <c r="U41" s="23"/>
    </row>
    <row r="42" spans="1:21" ht="12" customHeight="1" x14ac:dyDescent="0.2">
      <c r="A42" s="505" t="s">
        <v>118</v>
      </c>
      <c r="B42" s="1236" t="s">
        <v>117</v>
      </c>
      <c r="C42" s="1235"/>
      <c r="D42" s="1087">
        <f t="shared" si="53"/>
        <v>0</v>
      </c>
      <c r="E42" s="1062">
        <f t="shared" si="54"/>
        <v>0</v>
      </c>
      <c r="F42" s="1088">
        <f t="shared" si="55"/>
        <v>0</v>
      </c>
      <c r="G42" s="746"/>
      <c r="H42" s="446"/>
      <c r="I42" s="1062">
        <f t="shared" si="56"/>
        <v>0</v>
      </c>
      <c r="J42" s="446"/>
      <c r="K42" s="446"/>
      <c r="L42" s="1062">
        <f t="shared" si="57"/>
        <v>0</v>
      </c>
      <c r="M42" s="446"/>
      <c r="N42" s="446"/>
      <c r="O42" s="747"/>
      <c r="P42" s="25"/>
      <c r="Q42" s="23"/>
      <c r="R42" s="23"/>
      <c r="S42" s="23"/>
      <c r="T42" s="23"/>
      <c r="U42" s="23"/>
    </row>
    <row r="43" spans="1:21" ht="12" customHeight="1" x14ac:dyDescent="0.2">
      <c r="A43" s="505" t="s">
        <v>120</v>
      </c>
      <c r="B43" s="1236" t="s">
        <v>119</v>
      </c>
      <c r="C43" s="1235"/>
      <c r="D43" s="1087">
        <f t="shared" si="53"/>
        <v>0</v>
      </c>
      <c r="E43" s="1062">
        <f t="shared" si="54"/>
        <v>0</v>
      </c>
      <c r="F43" s="1088">
        <f t="shared" si="55"/>
        <v>0</v>
      </c>
      <c r="G43" s="746"/>
      <c r="H43" s="446"/>
      <c r="I43" s="1062">
        <f t="shared" si="56"/>
        <v>0</v>
      </c>
      <c r="J43" s="446"/>
      <c r="K43" s="446"/>
      <c r="L43" s="1062">
        <f t="shared" si="57"/>
        <v>0</v>
      </c>
      <c r="M43" s="446"/>
      <c r="N43" s="446"/>
      <c r="O43" s="747"/>
      <c r="P43" s="25"/>
      <c r="Q43" s="23"/>
      <c r="R43" s="23"/>
      <c r="S43" s="23"/>
      <c r="T43" s="23"/>
      <c r="U43" s="23"/>
    </row>
    <row r="44" spans="1:21" ht="12" customHeight="1" x14ac:dyDescent="0.2">
      <c r="A44" s="505" t="s">
        <v>122</v>
      </c>
      <c r="B44" s="1236" t="s">
        <v>121</v>
      </c>
      <c r="C44" s="1235"/>
      <c r="D44" s="1087">
        <f t="shared" si="53"/>
        <v>15</v>
      </c>
      <c r="E44" s="1062">
        <f t="shared" si="54"/>
        <v>0</v>
      </c>
      <c r="F44" s="1088">
        <f t="shared" si="55"/>
        <v>15</v>
      </c>
      <c r="G44" s="746"/>
      <c r="H44" s="446"/>
      <c r="I44" s="1062">
        <f t="shared" si="56"/>
        <v>0</v>
      </c>
      <c r="J44" s="446"/>
      <c r="K44" s="446"/>
      <c r="L44" s="1062">
        <f t="shared" si="57"/>
        <v>0</v>
      </c>
      <c r="M44" s="446">
        <v>15</v>
      </c>
      <c r="N44" s="446"/>
      <c r="O44" s="747">
        <f>+M44+N44</f>
        <v>15</v>
      </c>
      <c r="P44" s="25"/>
      <c r="Q44" s="23"/>
      <c r="R44" s="23"/>
      <c r="S44" s="23"/>
      <c r="T44" s="23"/>
      <c r="U44" s="23"/>
    </row>
    <row r="45" spans="1:21" s="37" customFormat="1" ht="12" customHeight="1" x14ac:dyDescent="0.2">
      <c r="A45" s="725" t="s">
        <v>123</v>
      </c>
      <c r="B45" s="1239" t="s">
        <v>161</v>
      </c>
      <c r="C45" s="1291"/>
      <c r="D45" s="1074">
        <f>+D44+D43+D42+D41+D40+D38+D37</f>
        <v>69</v>
      </c>
      <c r="E45" s="969">
        <f>+E44+E43+E42+E41+E40+E38+E37</f>
        <v>0</v>
      </c>
      <c r="F45" s="1075">
        <f>+F44+F43+F42+F41+F40+F38+F37</f>
        <v>69</v>
      </c>
      <c r="G45" s="1093">
        <f>+G44+G43+G42+G41+G40+G38+G37</f>
        <v>0</v>
      </c>
      <c r="H45" s="969">
        <f t="shared" ref="H45:U45" si="58">+H44+H43+H42+H41+H40+H38+H37</f>
        <v>0</v>
      </c>
      <c r="I45" s="969">
        <f t="shared" si="58"/>
        <v>0</v>
      </c>
      <c r="J45" s="969">
        <f t="shared" si="58"/>
        <v>0</v>
      </c>
      <c r="K45" s="969">
        <f t="shared" si="58"/>
        <v>0</v>
      </c>
      <c r="L45" s="969">
        <f t="shared" si="58"/>
        <v>0</v>
      </c>
      <c r="M45" s="969">
        <f t="shared" si="58"/>
        <v>69</v>
      </c>
      <c r="N45" s="969">
        <f t="shared" si="58"/>
        <v>0</v>
      </c>
      <c r="O45" s="1075">
        <f t="shared" si="58"/>
        <v>69</v>
      </c>
      <c r="P45" s="722">
        <f t="shared" si="58"/>
        <v>0</v>
      </c>
      <c r="Q45" s="45">
        <f t="shared" si="58"/>
        <v>0</v>
      </c>
      <c r="R45" s="45">
        <f t="shared" si="58"/>
        <v>0</v>
      </c>
      <c r="S45" s="45">
        <f t="shared" si="58"/>
        <v>0</v>
      </c>
      <c r="T45" s="45">
        <f t="shared" si="58"/>
        <v>0</v>
      </c>
      <c r="U45" s="45">
        <f t="shared" si="58"/>
        <v>0</v>
      </c>
    </row>
    <row r="46" spans="1:21" ht="9" customHeight="1" x14ac:dyDescent="0.2">
      <c r="A46" s="409"/>
      <c r="B46" s="8"/>
      <c r="C46" s="986"/>
      <c r="D46" s="1089"/>
      <c r="E46" s="1061"/>
      <c r="F46" s="1077"/>
      <c r="G46" s="1061"/>
      <c r="H46" s="1061"/>
      <c r="I46" s="1061"/>
      <c r="J46" s="1061"/>
      <c r="K46" s="1061"/>
      <c r="L46" s="746"/>
      <c r="M46" s="1061"/>
      <c r="N46" s="1061"/>
      <c r="O46" s="1077"/>
      <c r="P46" s="24"/>
      <c r="Q46" s="24"/>
      <c r="R46" s="25"/>
      <c r="S46" s="24"/>
      <c r="T46" s="24"/>
      <c r="U46" s="25"/>
    </row>
    <row r="47" spans="1:21" ht="12" hidden="1" customHeight="1" x14ac:dyDescent="0.2">
      <c r="A47" s="505" t="s">
        <v>125</v>
      </c>
      <c r="B47" s="1236" t="s">
        <v>124</v>
      </c>
      <c r="C47" s="1235"/>
      <c r="D47" s="1048"/>
      <c r="E47" s="446"/>
      <c r="F47" s="747"/>
      <c r="G47" s="746"/>
      <c r="H47" s="446"/>
      <c r="I47" s="446"/>
      <c r="J47" s="446"/>
      <c r="K47" s="446"/>
      <c r="L47" s="446"/>
      <c r="M47" s="446"/>
      <c r="N47" s="446"/>
      <c r="O47" s="747"/>
      <c r="P47" s="25"/>
      <c r="Q47" s="23"/>
      <c r="R47" s="23"/>
      <c r="S47" s="23"/>
      <c r="T47" s="23"/>
      <c r="U47" s="23"/>
    </row>
    <row r="48" spans="1:21" ht="12" hidden="1" customHeight="1" x14ac:dyDescent="0.2">
      <c r="A48" s="505" t="s">
        <v>127</v>
      </c>
      <c r="B48" s="1236" t="s">
        <v>126</v>
      </c>
      <c r="C48" s="1235"/>
      <c r="D48" s="1048"/>
      <c r="E48" s="446"/>
      <c r="F48" s="747"/>
      <c r="G48" s="746"/>
      <c r="H48" s="446"/>
      <c r="I48" s="446"/>
      <c r="J48" s="446"/>
      <c r="K48" s="446"/>
      <c r="L48" s="446"/>
      <c r="M48" s="446"/>
      <c r="N48" s="446"/>
      <c r="O48" s="747"/>
      <c r="P48" s="25"/>
      <c r="Q48" s="23"/>
      <c r="R48" s="23"/>
      <c r="S48" s="23"/>
      <c r="T48" s="23"/>
      <c r="U48" s="23"/>
    </row>
    <row r="49" spans="1:21" ht="12" hidden="1" customHeight="1" x14ac:dyDescent="0.2">
      <c r="A49" s="505" t="s">
        <v>129</v>
      </c>
      <c r="B49" s="1236" t="s">
        <v>128</v>
      </c>
      <c r="C49" s="1235"/>
      <c r="D49" s="1048"/>
      <c r="E49" s="446"/>
      <c r="F49" s="747"/>
      <c r="G49" s="746"/>
      <c r="H49" s="446"/>
      <c r="I49" s="446"/>
      <c r="J49" s="446"/>
      <c r="K49" s="446"/>
      <c r="L49" s="446"/>
      <c r="M49" s="446"/>
      <c r="N49" s="446"/>
      <c r="O49" s="747"/>
      <c r="P49" s="25"/>
      <c r="Q49" s="23"/>
      <c r="R49" s="23"/>
      <c r="S49" s="23"/>
      <c r="T49" s="23"/>
      <c r="U49" s="23"/>
    </row>
    <row r="50" spans="1:21" ht="15" hidden="1" customHeight="1" x14ac:dyDescent="0.2">
      <c r="A50" s="505" t="s">
        <v>131</v>
      </c>
      <c r="B50" s="1236" t="s">
        <v>130</v>
      </c>
      <c r="C50" s="1235"/>
      <c r="D50" s="1048"/>
      <c r="E50" s="446"/>
      <c r="F50" s="747"/>
      <c r="G50" s="746"/>
      <c r="H50" s="446"/>
      <c r="I50" s="446"/>
      <c r="J50" s="446"/>
      <c r="K50" s="446"/>
      <c r="L50" s="446"/>
      <c r="M50" s="446"/>
      <c r="N50" s="446"/>
      <c r="O50" s="747"/>
      <c r="P50" s="25"/>
      <c r="Q50" s="23"/>
      <c r="R50" s="23"/>
      <c r="S50" s="23"/>
      <c r="T50" s="23"/>
      <c r="U50" s="23"/>
    </row>
    <row r="51" spans="1:21" s="37" customFormat="1" ht="12" customHeight="1" x14ac:dyDescent="0.2">
      <c r="A51" s="725" t="s">
        <v>132</v>
      </c>
      <c r="B51" s="1239" t="s">
        <v>160</v>
      </c>
      <c r="C51" s="1291"/>
      <c r="D51" s="1074"/>
      <c r="E51" s="969"/>
      <c r="F51" s="1075"/>
      <c r="G51" s="1093"/>
      <c r="H51" s="969"/>
      <c r="I51" s="969"/>
      <c r="J51" s="969"/>
      <c r="K51" s="969"/>
      <c r="L51" s="969"/>
      <c r="M51" s="969"/>
      <c r="N51" s="969"/>
      <c r="O51" s="1075"/>
      <c r="P51" s="722"/>
      <c r="Q51" s="45"/>
      <c r="R51" s="45"/>
      <c r="S51" s="45"/>
      <c r="T51" s="45"/>
      <c r="U51" s="45"/>
    </row>
    <row r="52" spans="1:21" ht="7.5" customHeight="1" x14ac:dyDescent="0.2">
      <c r="A52" s="409"/>
      <c r="B52" s="8"/>
      <c r="C52" s="986"/>
      <c r="D52" s="1089"/>
      <c r="E52" s="1061"/>
      <c r="F52" s="1077"/>
      <c r="G52" s="1061"/>
      <c r="H52" s="1061"/>
      <c r="I52" s="1061"/>
      <c r="J52" s="1061"/>
      <c r="K52" s="1061"/>
      <c r="L52" s="1061"/>
      <c r="M52" s="1061"/>
      <c r="N52" s="1061"/>
      <c r="O52" s="1077"/>
      <c r="P52" s="24"/>
      <c r="Q52" s="24"/>
      <c r="R52" s="24"/>
      <c r="S52" s="24"/>
      <c r="T52" s="24"/>
      <c r="U52" s="24"/>
    </row>
    <row r="53" spans="1:21" ht="12" hidden="1" customHeight="1" x14ac:dyDescent="0.2">
      <c r="A53" s="407" t="s">
        <v>371</v>
      </c>
      <c r="B53" s="1238" t="s">
        <v>372</v>
      </c>
      <c r="C53" s="1233"/>
      <c r="D53" s="1094"/>
      <c r="E53" s="1095"/>
      <c r="F53" s="1096"/>
      <c r="G53" s="1095"/>
      <c r="H53" s="1095"/>
      <c r="I53" s="1095"/>
      <c r="J53" s="1095"/>
      <c r="K53" s="1095"/>
      <c r="L53" s="1095"/>
      <c r="M53" s="1095"/>
      <c r="N53" s="1095"/>
      <c r="O53" s="1096"/>
      <c r="P53" s="92"/>
      <c r="Q53" s="92"/>
      <c r="R53" s="92"/>
      <c r="S53" s="92"/>
      <c r="T53" s="92"/>
      <c r="U53" s="92"/>
    </row>
    <row r="54" spans="1:21" ht="12" hidden="1" customHeight="1" x14ac:dyDescent="0.2">
      <c r="A54" s="407" t="s">
        <v>384</v>
      </c>
      <c r="B54" s="1249" t="s">
        <v>385</v>
      </c>
      <c r="C54" s="1284"/>
      <c r="D54" s="1094"/>
      <c r="E54" s="1095"/>
      <c r="F54" s="1096"/>
      <c r="G54" s="1095"/>
      <c r="H54" s="1095"/>
      <c r="I54" s="1095"/>
      <c r="J54" s="1095"/>
      <c r="K54" s="1095"/>
      <c r="L54" s="1095"/>
      <c r="M54" s="1095"/>
      <c r="N54" s="1095"/>
      <c r="O54" s="1096"/>
      <c r="P54" s="92"/>
      <c r="Q54" s="92"/>
      <c r="R54" s="92"/>
      <c r="S54" s="92"/>
      <c r="T54" s="92"/>
      <c r="U54" s="92"/>
    </row>
    <row r="55" spans="1:21" ht="12" hidden="1" customHeight="1" x14ac:dyDescent="0.2">
      <c r="A55" s="728" t="s">
        <v>603</v>
      </c>
      <c r="B55" s="1238" t="s">
        <v>159</v>
      </c>
      <c r="C55" s="1233"/>
      <c r="D55" s="1087"/>
      <c r="E55" s="1062"/>
      <c r="F55" s="1088"/>
      <c r="G55" s="1090"/>
      <c r="H55" s="1062"/>
      <c r="I55" s="1062"/>
      <c r="J55" s="1062"/>
      <c r="K55" s="1062"/>
      <c r="L55" s="1062"/>
      <c r="M55" s="1062"/>
      <c r="N55" s="1062"/>
      <c r="O55" s="1088"/>
      <c r="P55" s="93"/>
      <c r="Q55" s="26"/>
      <c r="R55" s="26"/>
      <c r="S55" s="26"/>
      <c r="T55" s="26"/>
      <c r="U55" s="26"/>
    </row>
    <row r="56" spans="1:21" s="37" customFormat="1" ht="12" customHeight="1" x14ac:dyDescent="0.2">
      <c r="A56" s="730" t="s">
        <v>134</v>
      </c>
      <c r="B56" s="1247" t="s">
        <v>158</v>
      </c>
      <c r="C56" s="1294"/>
      <c r="D56" s="1097"/>
      <c r="E56" s="1067"/>
      <c r="F56" s="1098"/>
      <c r="G56" s="1099"/>
      <c r="H56" s="1067"/>
      <c r="I56" s="1067"/>
      <c r="J56" s="1067"/>
      <c r="K56" s="1067"/>
      <c r="L56" s="1067"/>
      <c r="M56" s="1067"/>
      <c r="N56" s="1067"/>
      <c r="O56" s="1098"/>
      <c r="P56" s="724"/>
      <c r="Q56" s="43"/>
      <c r="R56" s="43"/>
      <c r="S56" s="43"/>
      <c r="T56" s="43"/>
      <c r="U56" s="43"/>
    </row>
    <row r="57" spans="1:21" ht="12" customHeight="1" x14ac:dyDescent="0.2">
      <c r="A57" s="409"/>
      <c r="B57" s="15"/>
      <c r="C57" s="734"/>
      <c r="D57" s="1089"/>
      <c r="E57" s="1061"/>
      <c r="F57" s="1077"/>
      <c r="G57" s="1061"/>
      <c r="H57" s="1061"/>
      <c r="I57" s="1061"/>
      <c r="J57" s="1061"/>
      <c r="K57" s="1061"/>
      <c r="L57" s="746"/>
      <c r="M57" s="1061"/>
      <c r="N57" s="1061"/>
      <c r="O57" s="1077"/>
      <c r="P57" s="24"/>
      <c r="Q57" s="24"/>
      <c r="R57" s="25"/>
      <c r="S57" s="24"/>
      <c r="T57" s="24"/>
      <c r="U57" s="25"/>
    </row>
    <row r="58" spans="1:21" s="37" customFormat="1" ht="12" customHeight="1" thickBot="1" x14ac:dyDescent="0.25">
      <c r="A58" s="731" t="s">
        <v>135</v>
      </c>
      <c r="B58" s="1292" t="s">
        <v>157</v>
      </c>
      <c r="C58" s="1293"/>
      <c r="D58" s="1100">
        <f t="shared" ref="D58:U58" si="59">+D56+D51+D45+D35+D9+D7</f>
        <v>25523</v>
      </c>
      <c r="E58" s="1101">
        <f t="shared" si="59"/>
        <v>0</v>
      </c>
      <c r="F58" s="1102">
        <f t="shared" si="59"/>
        <v>25523</v>
      </c>
      <c r="G58" s="1103">
        <f t="shared" si="59"/>
        <v>17451</v>
      </c>
      <c r="H58" s="1101">
        <f t="shared" si="59"/>
        <v>0</v>
      </c>
      <c r="I58" s="1101">
        <f t="shared" si="59"/>
        <v>17451</v>
      </c>
      <c r="J58" s="1101">
        <f t="shared" si="59"/>
        <v>6141</v>
      </c>
      <c r="K58" s="1101">
        <f t="shared" si="59"/>
        <v>0</v>
      </c>
      <c r="L58" s="1101">
        <f t="shared" si="59"/>
        <v>6141</v>
      </c>
      <c r="M58" s="1101">
        <f t="shared" si="59"/>
        <v>1931</v>
      </c>
      <c r="N58" s="1101">
        <f t="shared" si="59"/>
        <v>0</v>
      </c>
      <c r="O58" s="1102">
        <f t="shared" si="59"/>
        <v>1931</v>
      </c>
      <c r="P58" s="723">
        <f t="shared" si="59"/>
        <v>0</v>
      </c>
      <c r="Q58" s="44">
        <f t="shared" si="59"/>
        <v>0</v>
      </c>
      <c r="R58" s="44">
        <f t="shared" si="59"/>
        <v>0</v>
      </c>
      <c r="S58" s="44">
        <f t="shared" si="59"/>
        <v>0</v>
      </c>
      <c r="T58" s="44">
        <f t="shared" si="59"/>
        <v>0</v>
      </c>
      <c r="U58" s="44">
        <f t="shared" si="59"/>
        <v>0</v>
      </c>
    </row>
  </sheetData>
  <mergeCells count="61"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41:C41"/>
    <mergeCell ref="B45:C45"/>
    <mergeCell ref="B47:C47"/>
    <mergeCell ref="B34:C34"/>
    <mergeCell ref="B35:C35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2021.
Védőnői, iskola egészségügyi feladatok ellátása&amp;R&amp;"Times New Roman,Félkövér"&amp;12 5/d.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F19" sqref="F19"/>
    </sheetView>
  </sheetViews>
  <sheetFormatPr defaultColWidth="9.140625" defaultRowHeight="12.75" x14ac:dyDescent="0.2"/>
  <cols>
    <col min="1" max="1" width="7.5703125" style="295" customWidth="1"/>
    <col min="2" max="2" width="25.42578125" style="294" customWidth="1"/>
    <col min="3" max="3" width="8.5703125" style="294" customWidth="1"/>
    <col min="4" max="4" width="6.5703125" style="294" customWidth="1"/>
    <col min="5" max="5" width="6.7109375" style="294" customWidth="1"/>
    <col min="6" max="16384" width="9.140625" style="294"/>
  </cols>
  <sheetData>
    <row r="1" spans="1:14" ht="12" customHeight="1" x14ac:dyDescent="0.2"/>
    <row r="2" spans="1:14" s="298" customFormat="1" ht="28.5" customHeight="1" x14ac:dyDescent="0.2">
      <c r="A2" s="1302" t="s">
        <v>279</v>
      </c>
      <c r="B2" s="1303"/>
      <c r="C2" s="1297" t="s">
        <v>803</v>
      </c>
      <c r="D2" s="1297"/>
      <c r="E2" s="1298"/>
      <c r="F2" s="294"/>
      <c r="G2" s="294"/>
      <c r="H2" s="294"/>
      <c r="I2" s="294"/>
      <c r="J2" s="294"/>
      <c r="K2" s="294"/>
      <c r="L2" s="294"/>
      <c r="M2" s="294"/>
      <c r="N2" s="294"/>
    </row>
    <row r="3" spans="1:14" s="298" customFormat="1" ht="25.5" x14ac:dyDescent="0.2">
      <c r="A3" s="1301" t="s">
        <v>487</v>
      </c>
      <c r="B3" s="1273"/>
      <c r="C3" s="288" t="s">
        <v>944</v>
      </c>
      <c r="D3" s="292" t="s">
        <v>684</v>
      </c>
      <c r="E3" s="292" t="s">
        <v>940</v>
      </c>
      <c r="F3" s="294"/>
      <c r="G3" s="294"/>
      <c r="H3" s="294"/>
      <c r="I3" s="294"/>
      <c r="J3" s="294"/>
      <c r="K3" s="294"/>
      <c r="L3" s="294"/>
      <c r="M3" s="294"/>
      <c r="N3" s="294"/>
    </row>
    <row r="4" spans="1:14" s="298" customFormat="1" ht="15" customHeight="1" x14ac:dyDescent="0.2">
      <c r="A4" s="516" t="s">
        <v>489</v>
      </c>
      <c r="B4" s="297" t="s">
        <v>612</v>
      </c>
      <c r="C4" s="306">
        <v>550</v>
      </c>
      <c r="D4" s="481"/>
      <c r="E4" s="135">
        <f>+D4+C4</f>
        <v>550</v>
      </c>
      <c r="F4" s="294"/>
      <c r="G4" s="294"/>
      <c r="H4" s="294"/>
      <c r="I4" s="294"/>
      <c r="J4" s="294"/>
      <c r="K4" s="294"/>
      <c r="L4" s="294"/>
      <c r="M4" s="294"/>
      <c r="N4" s="294"/>
    </row>
    <row r="5" spans="1:14" s="298" customFormat="1" ht="14.25" customHeight="1" x14ac:dyDescent="0.25">
      <c r="A5" s="515" t="s">
        <v>489</v>
      </c>
      <c r="B5" s="297" t="s">
        <v>564</v>
      </c>
      <c r="C5" s="306">
        <v>300</v>
      </c>
      <c r="D5" s="306"/>
      <c r="E5" s="135">
        <f t="shared" ref="E5:E6" si="0">+D5+C5</f>
        <v>300</v>
      </c>
    </row>
    <row r="6" spans="1:14" ht="38.25" x14ac:dyDescent="0.2">
      <c r="A6" s="515" t="s">
        <v>489</v>
      </c>
      <c r="B6" s="297" t="s">
        <v>563</v>
      </c>
      <c r="C6" s="506">
        <v>5033</v>
      </c>
      <c r="D6" s="306"/>
      <c r="E6" s="135">
        <f t="shared" si="0"/>
        <v>5033</v>
      </c>
      <c r="F6" s="298"/>
      <c r="G6" s="298"/>
      <c r="H6" s="501"/>
      <c r="I6" s="298"/>
      <c r="J6" s="298"/>
      <c r="K6" s="298"/>
      <c r="L6" s="298"/>
      <c r="M6" s="298"/>
      <c r="N6" s="298"/>
    </row>
    <row r="7" spans="1:14" ht="19.5" customHeight="1" x14ac:dyDescent="0.2">
      <c r="A7" s="1295" t="s">
        <v>180</v>
      </c>
      <c r="B7" s="1296"/>
      <c r="C7" s="308">
        <f>SUM(C4:C6)</f>
        <v>5883</v>
      </c>
      <c r="D7" s="308">
        <f>SUM(D4:D6)</f>
        <v>0</v>
      </c>
      <c r="E7" s="308">
        <f>SUM(E4:E6)</f>
        <v>5883</v>
      </c>
    </row>
    <row r="8" spans="1:14" ht="19.5" customHeight="1" x14ac:dyDescent="0.2">
      <c r="A8" s="475"/>
      <c r="B8" s="475"/>
      <c r="C8" s="476"/>
      <c r="D8" s="476"/>
      <c r="E8" s="476"/>
    </row>
    <row r="9" spans="1:14" ht="12.75" customHeight="1" x14ac:dyDescent="0.2">
      <c r="A9" s="1300" t="s">
        <v>279</v>
      </c>
      <c r="B9" s="1300"/>
      <c r="C9" s="1299" t="s">
        <v>804</v>
      </c>
      <c r="D9" s="1297"/>
      <c r="E9" s="1298"/>
    </row>
    <row r="10" spans="1:14" ht="25.5" x14ac:dyDescent="0.2">
      <c r="A10" s="1274" t="s">
        <v>487</v>
      </c>
      <c r="B10" s="1274"/>
      <c r="C10" s="288" t="s">
        <v>944</v>
      </c>
      <c r="D10" s="951" t="s">
        <v>684</v>
      </c>
      <c r="E10" s="951" t="s">
        <v>940</v>
      </c>
    </row>
    <row r="11" spans="1:14" ht="25.5" x14ac:dyDescent="0.2">
      <c r="A11" s="296" t="s">
        <v>593</v>
      </c>
      <c r="B11" s="297" t="s">
        <v>590</v>
      </c>
      <c r="C11" s="719">
        <f>+'5.f. mell. Átadott pénzeszk.'!C13</f>
        <v>0</v>
      </c>
      <c r="D11" s="720">
        <f>+'5.f. mell. Átadott pénzeszk.'!D13</f>
        <v>0</v>
      </c>
      <c r="E11" s="720">
        <f>+D11+C11</f>
        <v>0</v>
      </c>
    </row>
    <row r="12" spans="1:14" ht="25.5" x14ac:dyDescent="0.2">
      <c r="A12" s="296" t="s">
        <v>598</v>
      </c>
      <c r="B12" s="297" t="s">
        <v>586</v>
      </c>
      <c r="C12" s="719">
        <f>+'5.f. mell. Átadott pénzeszk.'!C14</f>
        <v>1120</v>
      </c>
      <c r="D12" s="719">
        <f>+'5.f. mell. Átadott pénzeszk.'!D14</f>
        <v>0</v>
      </c>
      <c r="E12" s="720">
        <f t="shared" ref="E12:E17" si="1">+D12+C12</f>
        <v>1120</v>
      </c>
    </row>
    <row r="13" spans="1:14" ht="25.5" x14ac:dyDescent="0.2">
      <c r="A13" s="296" t="s">
        <v>599</v>
      </c>
      <c r="B13" s="297" t="s">
        <v>587</v>
      </c>
      <c r="C13" s="719">
        <f>+'5.f. mell. Átadott pénzeszk.'!C15</f>
        <v>3123</v>
      </c>
      <c r="D13" s="719">
        <f>+'5.f. mell. Átadott pénzeszk.'!D15</f>
        <v>0</v>
      </c>
      <c r="E13" s="720">
        <f t="shared" si="1"/>
        <v>3123</v>
      </c>
    </row>
    <row r="14" spans="1:14" x14ac:dyDescent="0.2">
      <c r="A14" s="296" t="s">
        <v>597</v>
      </c>
      <c r="B14" s="297" t="s">
        <v>591</v>
      </c>
      <c r="C14" s="719">
        <f>+'5.f. mell. Átadott pénzeszk.'!C16</f>
        <v>839</v>
      </c>
      <c r="D14" s="719">
        <f>+'5.f. mell. Átadott pénzeszk.'!D16</f>
        <v>0</v>
      </c>
      <c r="E14" s="720">
        <f t="shared" si="1"/>
        <v>839</v>
      </c>
    </row>
    <row r="15" spans="1:14" ht="25.5" x14ac:dyDescent="0.2">
      <c r="A15" s="296" t="s">
        <v>596</v>
      </c>
      <c r="B15" s="297" t="s">
        <v>592</v>
      </c>
      <c r="C15" s="719">
        <f>+'5.f. mell. Átadott pénzeszk.'!C17</f>
        <v>1652</v>
      </c>
      <c r="D15" s="719">
        <f>+'5.f. mell. Átadott pénzeszk.'!D17</f>
        <v>0</v>
      </c>
      <c r="E15" s="720">
        <f t="shared" si="1"/>
        <v>1652</v>
      </c>
    </row>
    <row r="16" spans="1:14" x14ac:dyDescent="0.2">
      <c r="A16" s="296" t="s">
        <v>672</v>
      </c>
      <c r="B16" s="297" t="s">
        <v>669</v>
      </c>
      <c r="C16" s="719">
        <f>+'5.f. mell. Átadott pénzeszk.'!C19</f>
        <v>0</v>
      </c>
      <c r="D16" s="719">
        <f>+'5.f. mell. Átadott pénzeszk.'!D19</f>
        <v>0</v>
      </c>
      <c r="E16" s="720">
        <f t="shared" si="1"/>
        <v>0</v>
      </c>
    </row>
    <row r="17" spans="1:6" x14ac:dyDescent="0.2">
      <c r="A17" s="296" t="s">
        <v>600</v>
      </c>
      <c r="B17" s="297" t="s">
        <v>595</v>
      </c>
      <c r="C17" s="719">
        <f>+'5.f. mell. Átadott pénzeszk.'!C18</f>
        <v>1372</v>
      </c>
      <c r="D17" s="719">
        <f>+'5.f. mell. Átadott pénzeszk.'!D18</f>
        <v>0</v>
      </c>
      <c r="E17" s="720">
        <f t="shared" si="1"/>
        <v>1372</v>
      </c>
    </row>
    <row r="18" spans="1:6" x14ac:dyDescent="0.2">
      <c r="A18" s="1295" t="s">
        <v>180</v>
      </c>
      <c r="B18" s="1296"/>
      <c r="C18" s="721">
        <f>SUM(C11:C17)</f>
        <v>8106</v>
      </c>
      <c r="D18" s="721">
        <f>SUM(D11:D17)</f>
        <v>0</v>
      </c>
      <c r="E18" s="721">
        <f>SUM(E11:E17)</f>
        <v>8106</v>
      </c>
      <c r="F18" s="973"/>
    </row>
    <row r="19" spans="1:6" x14ac:dyDescent="0.2">
      <c r="A19" s="477"/>
      <c r="B19" s="478"/>
      <c r="C19" s="479"/>
      <c r="D19" s="17"/>
      <c r="E19" s="17"/>
    </row>
  </sheetData>
  <mergeCells count="8"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2021.
Szociális feladatok ellátása&amp;R&amp;"Times New Roman,Félkövér"&amp;12 5/e. 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activeCell="D22" sqref="D22"/>
    </sheetView>
  </sheetViews>
  <sheetFormatPr defaultColWidth="9.140625" defaultRowHeight="12.75" x14ac:dyDescent="0.2"/>
  <cols>
    <col min="1" max="1" width="7.5703125" style="295" customWidth="1"/>
    <col min="2" max="2" width="29" style="294" customWidth="1"/>
    <col min="3" max="3" width="7.42578125" style="294" customWidth="1"/>
    <col min="4" max="4" width="6.5703125" style="294" customWidth="1"/>
    <col min="5" max="5" width="7.42578125" style="973" bestFit="1" customWidth="1"/>
    <col min="6" max="6" width="7.5703125" style="973" customWidth="1"/>
    <col min="7" max="7" width="6.7109375" style="973" customWidth="1"/>
    <col min="8" max="11" width="7.42578125" style="973" customWidth="1"/>
    <col min="12" max="12" width="8.140625" style="973" customWidth="1"/>
    <col min="13" max="13" width="6.5703125" style="973" customWidth="1"/>
    <col min="14" max="14" width="7.85546875" style="973" customWidth="1"/>
    <col min="15" max="16384" width="9.140625" style="294"/>
  </cols>
  <sheetData>
    <row r="1" spans="1:14" ht="12.75" customHeight="1" x14ac:dyDescent="0.2">
      <c r="A1" s="1329"/>
      <c r="B1" s="1331" t="s">
        <v>488</v>
      </c>
      <c r="C1" s="1326" t="s">
        <v>101</v>
      </c>
      <c r="D1" s="1326"/>
      <c r="E1" s="1326"/>
      <c r="F1" s="1327" t="s">
        <v>107</v>
      </c>
      <c r="G1" s="1327"/>
      <c r="H1" s="1327"/>
      <c r="I1" s="1327" t="s">
        <v>134</v>
      </c>
      <c r="J1" s="1327"/>
      <c r="K1" s="1328"/>
      <c r="L1" s="1313" t="s">
        <v>180</v>
      </c>
      <c r="M1" s="1314"/>
      <c r="N1" s="1315"/>
    </row>
    <row r="2" spans="1:14" ht="29.25" customHeight="1" x14ac:dyDescent="0.2">
      <c r="A2" s="1330"/>
      <c r="B2" s="1332"/>
      <c r="C2" s="1319" t="s">
        <v>559</v>
      </c>
      <c r="D2" s="1319"/>
      <c r="E2" s="1319"/>
      <c r="F2" s="1319" t="s">
        <v>483</v>
      </c>
      <c r="G2" s="1319"/>
      <c r="H2" s="1319"/>
      <c r="I2" s="1319" t="s">
        <v>617</v>
      </c>
      <c r="J2" s="1319"/>
      <c r="K2" s="1299"/>
      <c r="L2" s="1316"/>
      <c r="M2" s="1317"/>
      <c r="N2" s="1318"/>
    </row>
    <row r="3" spans="1:14" ht="26.25" customHeight="1" x14ac:dyDescent="0.2">
      <c r="A3" s="696" t="s">
        <v>487</v>
      </c>
      <c r="B3" s="698" t="s">
        <v>279</v>
      </c>
      <c r="C3" s="288" t="s">
        <v>944</v>
      </c>
      <c r="D3" s="694" t="s">
        <v>684</v>
      </c>
      <c r="E3" s="984" t="s">
        <v>941</v>
      </c>
      <c r="F3" s="1107" t="s">
        <v>944</v>
      </c>
      <c r="G3" s="984" t="s">
        <v>684</v>
      </c>
      <c r="H3" s="984" t="s">
        <v>941</v>
      </c>
      <c r="I3" s="1107" t="s">
        <v>944</v>
      </c>
      <c r="J3" s="984" t="s">
        <v>684</v>
      </c>
      <c r="K3" s="984" t="s">
        <v>941</v>
      </c>
      <c r="L3" s="1108" t="s">
        <v>944</v>
      </c>
      <c r="M3" s="984" t="s">
        <v>684</v>
      </c>
      <c r="N3" s="1041" t="s">
        <v>941</v>
      </c>
    </row>
    <row r="4" spans="1:14" s="298" customFormat="1" ht="15" customHeight="1" x14ac:dyDescent="0.25">
      <c r="A4" s="735" t="s">
        <v>484</v>
      </c>
      <c r="B4" s="697" t="s">
        <v>485</v>
      </c>
      <c r="C4" s="506">
        <v>0</v>
      </c>
      <c r="D4" s="506"/>
      <c r="E4" s="506">
        <f>+D4+C4</f>
        <v>0</v>
      </c>
      <c r="F4" s="506">
        <v>3500</v>
      </c>
      <c r="G4" s="507"/>
      <c r="H4" s="507">
        <f>+G4+F4</f>
        <v>3500</v>
      </c>
      <c r="I4" s="507"/>
      <c r="J4" s="507"/>
      <c r="K4" s="1109"/>
      <c r="L4" s="1110">
        <f>+C4+F4+I4</f>
        <v>3500</v>
      </c>
      <c r="M4" s="507">
        <f t="shared" ref="M4:N5" si="0">+D4+G4+J4</f>
        <v>0</v>
      </c>
      <c r="N4" s="1111">
        <f t="shared" si="0"/>
        <v>3500</v>
      </c>
    </row>
    <row r="5" spans="1:14" s="298" customFormat="1" ht="15" customHeight="1" x14ac:dyDescent="0.25">
      <c r="A5" s="1337" t="s">
        <v>788</v>
      </c>
      <c r="B5" s="1340" t="s">
        <v>747</v>
      </c>
      <c r="C5" s="1304">
        <v>0</v>
      </c>
      <c r="D5" s="1304"/>
      <c r="E5" s="1304">
        <f t="shared" ref="E5:E22" si="1">+D5+C5</f>
        <v>0</v>
      </c>
      <c r="F5" s="1304">
        <v>1000</v>
      </c>
      <c r="G5" s="1307"/>
      <c r="H5" s="1310">
        <f t="shared" ref="H5:H52" si="2">+G5+F5</f>
        <v>1000</v>
      </c>
      <c r="I5" s="1307"/>
      <c r="J5" s="1307"/>
      <c r="K5" s="1320"/>
      <c r="L5" s="1323">
        <f>+C5+F5+I5</f>
        <v>1000</v>
      </c>
      <c r="M5" s="1307">
        <f t="shared" si="0"/>
        <v>0</v>
      </c>
      <c r="N5" s="1320">
        <f t="shared" si="0"/>
        <v>1000</v>
      </c>
    </row>
    <row r="6" spans="1:14" s="298" customFormat="1" ht="15" customHeight="1" x14ac:dyDescent="0.25">
      <c r="A6" s="1338"/>
      <c r="B6" s="1341"/>
      <c r="C6" s="1305"/>
      <c r="D6" s="1305"/>
      <c r="E6" s="1305"/>
      <c r="F6" s="1305"/>
      <c r="G6" s="1308"/>
      <c r="H6" s="1311"/>
      <c r="I6" s="1308"/>
      <c r="J6" s="1308"/>
      <c r="K6" s="1321"/>
      <c r="L6" s="1324"/>
      <c r="M6" s="1308"/>
      <c r="N6" s="1321"/>
    </row>
    <row r="7" spans="1:14" s="298" customFormat="1" ht="15" customHeight="1" x14ac:dyDescent="0.25">
      <c r="A7" s="1339"/>
      <c r="B7" s="1342"/>
      <c r="C7" s="1306"/>
      <c r="D7" s="1306"/>
      <c r="E7" s="1306"/>
      <c r="F7" s="1306"/>
      <c r="G7" s="1309"/>
      <c r="H7" s="1312"/>
      <c r="I7" s="1309"/>
      <c r="J7" s="1309"/>
      <c r="K7" s="1322"/>
      <c r="L7" s="1325"/>
      <c r="M7" s="1309"/>
      <c r="N7" s="1322"/>
    </row>
    <row r="8" spans="1:14" s="298" customFormat="1" ht="15" customHeight="1" x14ac:dyDescent="0.25">
      <c r="A8" s="735" t="s">
        <v>486</v>
      </c>
      <c r="B8" s="697" t="s">
        <v>477</v>
      </c>
      <c r="C8" s="506">
        <v>0</v>
      </c>
      <c r="D8" s="506"/>
      <c r="E8" s="506">
        <f t="shared" si="1"/>
        <v>0</v>
      </c>
      <c r="F8" s="506">
        <v>6000</v>
      </c>
      <c r="G8" s="507"/>
      <c r="H8" s="507">
        <f t="shared" si="2"/>
        <v>6000</v>
      </c>
      <c r="I8" s="507"/>
      <c r="J8" s="507"/>
      <c r="K8" s="1109"/>
      <c r="L8" s="1110">
        <f t="shared" ref="L8:L30" si="3">+C8+F8+I8</f>
        <v>6000</v>
      </c>
      <c r="M8" s="507">
        <f t="shared" ref="M8:M53" si="4">+D8+G8+J8</f>
        <v>0</v>
      </c>
      <c r="N8" s="1111">
        <f t="shared" ref="N8:N53" si="5">+E8+H8+K8</f>
        <v>6000</v>
      </c>
    </row>
    <row r="9" spans="1:14" s="298" customFormat="1" ht="15" customHeight="1" x14ac:dyDescent="0.25">
      <c r="A9" s="735" t="s">
        <v>662</v>
      </c>
      <c r="B9" s="945" t="s">
        <v>897</v>
      </c>
      <c r="C9" s="506"/>
      <c r="D9" s="506"/>
      <c r="E9" s="506"/>
      <c r="F9" s="506">
        <v>750</v>
      </c>
      <c r="G9" s="507"/>
      <c r="H9" s="507">
        <f t="shared" ref="H9" si="6">+G9+F9</f>
        <v>750</v>
      </c>
      <c r="I9" s="507"/>
      <c r="J9" s="507"/>
      <c r="K9" s="1109">
        <f>+I9+J9</f>
        <v>0</v>
      </c>
      <c r="L9" s="1110">
        <f t="shared" ref="L9" si="7">+C9+F9+I9</f>
        <v>750</v>
      </c>
      <c r="M9" s="507">
        <f t="shared" ref="M9" si="8">+D9+G9+J9</f>
        <v>0</v>
      </c>
      <c r="N9" s="1111">
        <f t="shared" ref="N9" si="9">+E9+H9+K9</f>
        <v>750</v>
      </c>
    </row>
    <row r="10" spans="1:14" s="298" customFormat="1" ht="15" customHeight="1" x14ac:dyDescent="0.25">
      <c r="A10" s="735" t="s">
        <v>662</v>
      </c>
      <c r="B10" s="945" t="s">
        <v>900</v>
      </c>
      <c r="C10" s="506"/>
      <c r="D10" s="506"/>
      <c r="E10" s="506"/>
      <c r="F10" s="506">
        <v>1097</v>
      </c>
      <c r="G10" s="507"/>
      <c r="H10" s="507">
        <f t="shared" si="2"/>
        <v>1097</v>
      </c>
      <c r="I10" s="507"/>
      <c r="J10" s="507"/>
      <c r="K10" s="1109">
        <f>+I10+J10</f>
        <v>0</v>
      </c>
      <c r="L10" s="1110">
        <f t="shared" si="3"/>
        <v>1097</v>
      </c>
      <c r="M10" s="507">
        <f t="shared" si="4"/>
        <v>0</v>
      </c>
      <c r="N10" s="1111">
        <f t="shared" si="5"/>
        <v>1097</v>
      </c>
    </row>
    <row r="11" spans="1:14" s="298" customFormat="1" ht="15" customHeight="1" x14ac:dyDescent="0.25">
      <c r="A11" s="735" t="s">
        <v>662</v>
      </c>
      <c r="B11" s="928" t="s">
        <v>884</v>
      </c>
      <c r="C11" s="506"/>
      <c r="D11" s="506"/>
      <c r="E11" s="506"/>
      <c r="F11" s="506"/>
      <c r="G11" s="507"/>
      <c r="H11" s="507"/>
      <c r="I11" s="507">
        <v>1300</v>
      </c>
      <c r="J11" s="507"/>
      <c r="K11" s="1109">
        <f>+I11+J11</f>
        <v>1300</v>
      </c>
      <c r="L11" s="1110">
        <f t="shared" ref="L11" si="10">+C11+F11+I11</f>
        <v>1300</v>
      </c>
      <c r="M11" s="507">
        <f t="shared" ref="M11" si="11">+D11+G11+J11</f>
        <v>0</v>
      </c>
      <c r="N11" s="1111">
        <f t="shared" ref="N11" si="12">+E11+H11+K11</f>
        <v>1300</v>
      </c>
    </row>
    <row r="12" spans="1:14" s="298" customFormat="1" ht="15" customHeight="1" x14ac:dyDescent="0.25">
      <c r="A12" s="1345" t="s">
        <v>490</v>
      </c>
      <c r="B12" s="1336"/>
      <c r="C12" s="507">
        <f>SUM(C13:C21)</f>
        <v>15977</v>
      </c>
      <c r="D12" s="507">
        <f t="shared" ref="D12:E12" si="13">SUM(D13:D21)</f>
        <v>229</v>
      </c>
      <c r="E12" s="507">
        <f t="shared" si="13"/>
        <v>16206</v>
      </c>
      <c r="F12" s="507"/>
      <c r="G12" s="507"/>
      <c r="H12" s="507">
        <f t="shared" si="2"/>
        <v>0</v>
      </c>
      <c r="I12" s="507"/>
      <c r="J12" s="507"/>
      <c r="K12" s="1109"/>
      <c r="L12" s="1110">
        <f t="shared" si="3"/>
        <v>15977</v>
      </c>
      <c r="M12" s="507">
        <f t="shared" si="4"/>
        <v>229</v>
      </c>
      <c r="N12" s="1111">
        <f t="shared" si="5"/>
        <v>16206</v>
      </c>
    </row>
    <row r="13" spans="1:14" s="482" customFormat="1" ht="24.75" customHeight="1" x14ac:dyDescent="0.25">
      <c r="A13" s="599" t="s">
        <v>593</v>
      </c>
      <c r="B13" s="370" t="s">
        <v>590</v>
      </c>
      <c r="C13" s="372">
        <v>0</v>
      </c>
      <c r="D13" s="372"/>
      <c r="E13" s="506">
        <f t="shared" si="1"/>
        <v>0</v>
      </c>
      <c r="F13" s="1104"/>
      <c r="G13" s="1104"/>
      <c r="H13" s="507">
        <f t="shared" si="2"/>
        <v>0</v>
      </c>
      <c r="I13" s="1104"/>
      <c r="J13" s="1104"/>
      <c r="K13" s="1112"/>
      <c r="L13" s="1113">
        <f t="shared" si="3"/>
        <v>0</v>
      </c>
      <c r="M13" s="1104">
        <f t="shared" si="4"/>
        <v>0</v>
      </c>
      <c r="N13" s="1114">
        <f t="shared" si="5"/>
        <v>0</v>
      </c>
    </row>
    <row r="14" spans="1:14" s="482" customFormat="1" ht="15" customHeight="1" x14ac:dyDescent="0.25">
      <c r="A14" s="599" t="s">
        <v>598</v>
      </c>
      <c r="B14" s="370" t="s">
        <v>586</v>
      </c>
      <c r="C14" s="372">
        <v>1120</v>
      </c>
      <c r="D14" s="372"/>
      <c r="E14" s="506">
        <f t="shared" si="1"/>
        <v>1120</v>
      </c>
      <c r="F14" s="1104"/>
      <c r="G14" s="1104"/>
      <c r="H14" s="507">
        <f t="shared" si="2"/>
        <v>0</v>
      </c>
      <c r="I14" s="1104"/>
      <c r="J14" s="1104"/>
      <c r="K14" s="1112"/>
      <c r="L14" s="1113">
        <f t="shared" si="3"/>
        <v>1120</v>
      </c>
      <c r="M14" s="1104">
        <f t="shared" si="4"/>
        <v>0</v>
      </c>
      <c r="N14" s="1114">
        <f t="shared" si="5"/>
        <v>1120</v>
      </c>
    </row>
    <row r="15" spans="1:14" s="482" customFormat="1" ht="15" customHeight="1" x14ac:dyDescent="0.25">
      <c r="A15" s="599" t="s">
        <v>599</v>
      </c>
      <c r="B15" s="370" t="s">
        <v>587</v>
      </c>
      <c r="C15" s="372">
        <v>3123</v>
      </c>
      <c r="D15" s="372"/>
      <c r="E15" s="506">
        <f t="shared" si="1"/>
        <v>3123</v>
      </c>
      <c r="F15" s="1104"/>
      <c r="G15" s="1104"/>
      <c r="H15" s="507">
        <f t="shared" si="2"/>
        <v>0</v>
      </c>
      <c r="I15" s="1104"/>
      <c r="J15" s="1104"/>
      <c r="K15" s="1112"/>
      <c r="L15" s="1113">
        <f t="shared" si="3"/>
        <v>3123</v>
      </c>
      <c r="M15" s="1104">
        <f t="shared" si="4"/>
        <v>0</v>
      </c>
      <c r="N15" s="1114">
        <f t="shared" si="5"/>
        <v>3123</v>
      </c>
    </row>
    <row r="16" spans="1:14" s="482" customFormat="1" ht="15" customHeight="1" x14ac:dyDescent="0.25">
      <c r="A16" s="599" t="s">
        <v>597</v>
      </c>
      <c r="B16" s="370" t="s">
        <v>591</v>
      </c>
      <c r="C16" s="372">
        <v>839</v>
      </c>
      <c r="D16" s="372"/>
      <c r="E16" s="506">
        <f t="shared" si="1"/>
        <v>839</v>
      </c>
      <c r="F16" s="1104"/>
      <c r="G16" s="1104"/>
      <c r="H16" s="507">
        <f t="shared" si="2"/>
        <v>0</v>
      </c>
      <c r="I16" s="1104"/>
      <c r="J16" s="1104"/>
      <c r="K16" s="1112"/>
      <c r="L16" s="1113">
        <f t="shared" si="3"/>
        <v>839</v>
      </c>
      <c r="M16" s="1104">
        <f t="shared" si="4"/>
        <v>0</v>
      </c>
      <c r="N16" s="1114">
        <f t="shared" si="5"/>
        <v>839</v>
      </c>
    </row>
    <row r="17" spans="1:14" s="482" customFormat="1" ht="24" customHeight="1" x14ac:dyDescent="0.25">
      <c r="A17" s="599" t="s">
        <v>596</v>
      </c>
      <c r="B17" s="370" t="s">
        <v>592</v>
      </c>
      <c r="C17" s="372">
        <v>1652</v>
      </c>
      <c r="D17" s="372"/>
      <c r="E17" s="506">
        <f t="shared" si="1"/>
        <v>1652</v>
      </c>
      <c r="F17" s="1104"/>
      <c r="G17" s="1104"/>
      <c r="H17" s="507">
        <f t="shared" si="2"/>
        <v>0</v>
      </c>
      <c r="I17" s="1104"/>
      <c r="J17" s="1104"/>
      <c r="K17" s="1112"/>
      <c r="L17" s="1113">
        <f t="shared" si="3"/>
        <v>1652</v>
      </c>
      <c r="M17" s="1104">
        <f t="shared" si="4"/>
        <v>0</v>
      </c>
      <c r="N17" s="1114">
        <f t="shared" si="5"/>
        <v>1652</v>
      </c>
    </row>
    <row r="18" spans="1:14" s="482" customFormat="1" ht="15" customHeight="1" x14ac:dyDescent="0.25">
      <c r="A18" s="599" t="s">
        <v>600</v>
      </c>
      <c r="B18" s="370" t="s">
        <v>595</v>
      </c>
      <c r="C18" s="372">
        <v>1372</v>
      </c>
      <c r="D18" s="372"/>
      <c r="E18" s="506">
        <f t="shared" si="1"/>
        <v>1372</v>
      </c>
      <c r="F18" s="1104"/>
      <c r="G18" s="1104"/>
      <c r="H18" s="507">
        <f t="shared" si="2"/>
        <v>0</v>
      </c>
      <c r="I18" s="1104"/>
      <c r="J18" s="1104"/>
      <c r="K18" s="1112"/>
      <c r="L18" s="1113">
        <f t="shared" si="3"/>
        <v>1372</v>
      </c>
      <c r="M18" s="1104">
        <f t="shared" si="4"/>
        <v>0</v>
      </c>
      <c r="N18" s="1114">
        <f t="shared" si="5"/>
        <v>1372</v>
      </c>
    </row>
    <row r="19" spans="1:14" s="482" customFormat="1" ht="15" customHeight="1" x14ac:dyDescent="0.25">
      <c r="A19" s="599" t="s">
        <v>672</v>
      </c>
      <c r="B19" s="370" t="s">
        <v>669</v>
      </c>
      <c r="C19" s="372"/>
      <c r="D19" s="372"/>
      <c r="E19" s="506">
        <f t="shared" si="1"/>
        <v>0</v>
      </c>
      <c r="F19" s="1104"/>
      <c r="G19" s="1104"/>
      <c r="H19" s="507">
        <f t="shared" si="2"/>
        <v>0</v>
      </c>
      <c r="I19" s="1104"/>
      <c r="J19" s="1104"/>
      <c r="K19" s="1112"/>
      <c r="L19" s="1113">
        <f t="shared" si="3"/>
        <v>0</v>
      </c>
      <c r="M19" s="1104"/>
      <c r="N19" s="1114"/>
    </row>
    <row r="20" spans="1:14" s="482" customFormat="1" ht="15" customHeight="1" x14ac:dyDescent="0.25">
      <c r="A20" s="599" t="s">
        <v>671</v>
      </c>
      <c r="B20" s="370" t="s">
        <v>670</v>
      </c>
      <c r="C20" s="372">
        <v>875</v>
      </c>
      <c r="D20" s="372"/>
      <c r="E20" s="506">
        <f t="shared" si="1"/>
        <v>875</v>
      </c>
      <c r="F20" s="1104"/>
      <c r="G20" s="1104"/>
      <c r="H20" s="507">
        <f t="shared" si="2"/>
        <v>0</v>
      </c>
      <c r="I20" s="1104"/>
      <c r="J20" s="1104"/>
      <c r="K20" s="1112"/>
      <c r="L20" s="1113">
        <f t="shared" si="3"/>
        <v>875</v>
      </c>
      <c r="M20" s="1104"/>
      <c r="N20" s="1114"/>
    </row>
    <row r="21" spans="1:14" s="482" customFormat="1" ht="26.25" customHeight="1" x14ac:dyDescent="0.25">
      <c r="A21" s="599" t="s">
        <v>478</v>
      </c>
      <c r="B21" s="370" t="s">
        <v>594</v>
      </c>
      <c r="C21" s="372">
        <f>4807+575+765+709+140</f>
        <v>6996</v>
      </c>
      <c r="D21" s="372">
        <v>229</v>
      </c>
      <c r="E21" s="506">
        <f t="shared" si="1"/>
        <v>7225</v>
      </c>
      <c r="F21" s="1104"/>
      <c r="G21" s="1104"/>
      <c r="H21" s="507">
        <f t="shared" si="2"/>
        <v>0</v>
      </c>
      <c r="I21" s="1104"/>
      <c r="J21" s="1104"/>
      <c r="K21" s="1112"/>
      <c r="L21" s="1113">
        <f t="shared" si="3"/>
        <v>6996</v>
      </c>
      <c r="M21" s="1104">
        <f t="shared" si="4"/>
        <v>229</v>
      </c>
      <c r="N21" s="1114">
        <f t="shared" si="5"/>
        <v>7225</v>
      </c>
    </row>
    <row r="22" spans="1:14" s="298" customFormat="1" ht="15" customHeight="1" x14ac:dyDescent="0.25">
      <c r="A22" s="1333" t="s">
        <v>611</v>
      </c>
      <c r="B22" s="1334"/>
      <c r="C22" s="306">
        <v>132893</v>
      </c>
      <c r="D22" s="306">
        <v>-1460</v>
      </c>
      <c r="E22" s="506">
        <f t="shared" si="1"/>
        <v>131433</v>
      </c>
      <c r="F22" s="507"/>
      <c r="G22" s="507"/>
      <c r="H22" s="507">
        <f t="shared" si="2"/>
        <v>0</v>
      </c>
      <c r="I22" s="507"/>
      <c r="J22" s="507"/>
      <c r="K22" s="1109"/>
      <c r="L22" s="1110">
        <f t="shared" si="3"/>
        <v>132893</v>
      </c>
      <c r="M22" s="507">
        <f t="shared" si="4"/>
        <v>-1460</v>
      </c>
      <c r="N22" s="1111">
        <f t="shared" si="5"/>
        <v>131433</v>
      </c>
    </row>
    <row r="23" spans="1:14" s="298" customFormat="1" ht="15" customHeight="1" x14ac:dyDescent="0.25">
      <c r="A23" s="1333" t="s">
        <v>610</v>
      </c>
      <c r="B23" s="1334"/>
      <c r="C23" s="306"/>
      <c r="D23" s="306"/>
      <c r="E23" s="507"/>
      <c r="F23" s="507"/>
      <c r="G23" s="507"/>
      <c r="H23" s="507">
        <f t="shared" si="2"/>
        <v>0</v>
      </c>
      <c r="I23" s="507"/>
      <c r="J23" s="507"/>
      <c r="K23" s="1109"/>
      <c r="L23" s="1110">
        <f t="shared" si="3"/>
        <v>0</v>
      </c>
      <c r="M23" s="507">
        <f t="shared" si="4"/>
        <v>0</v>
      </c>
      <c r="N23" s="1111">
        <f t="shared" si="5"/>
        <v>0</v>
      </c>
    </row>
    <row r="24" spans="1:14" s="298" customFormat="1" ht="28.5" customHeight="1" x14ac:dyDescent="0.25">
      <c r="A24" s="1335" t="s">
        <v>858</v>
      </c>
      <c r="B24" s="1336"/>
      <c r="C24" s="306"/>
      <c r="D24" s="306"/>
      <c r="E24" s="507"/>
      <c r="F24" s="507">
        <f>SUM(F25:F29)</f>
        <v>59524</v>
      </c>
      <c r="G24" s="507">
        <f>SUM(G25:G29)</f>
        <v>0</v>
      </c>
      <c r="H24" s="507">
        <f t="shared" si="2"/>
        <v>59524</v>
      </c>
      <c r="I24" s="507"/>
      <c r="J24" s="507"/>
      <c r="K24" s="1109"/>
      <c r="L24" s="1110">
        <f t="shared" si="3"/>
        <v>59524</v>
      </c>
      <c r="M24" s="507">
        <f t="shared" si="4"/>
        <v>0</v>
      </c>
      <c r="N24" s="1111">
        <f t="shared" si="5"/>
        <v>59524</v>
      </c>
    </row>
    <row r="25" spans="1:14" s="298" customFormat="1" ht="30" customHeight="1" x14ac:dyDescent="0.25">
      <c r="A25" s="859" t="s">
        <v>928</v>
      </c>
      <c r="B25" s="370" t="s">
        <v>859</v>
      </c>
      <c r="C25" s="306"/>
      <c r="D25" s="306"/>
      <c r="E25" s="507"/>
      <c r="F25" s="507">
        <v>31492</v>
      </c>
      <c r="G25" s="507"/>
      <c r="H25" s="507">
        <f t="shared" si="2"/>
        <v>31492</v>
      </c>
      <c r="I25" s="507"/>
      <c r="J25" s="507"/>
      <c r="K25" s="1109"/>
      <c r="L25" s="1110">
        <f t="shared" si="3"/>
        <v>31492</v>
      </c>
      <c r="M25" s="507">
        <f t="shared" si="4"/>
        <v>0</v>
      </c>
      <c r="N25" s="1111">
        <f t="shared" si="5"/>
        <v>31492</v>
      </c>
    </row>
    <row r="26" spans="1:14" s="298" customFormat="1" ht="15" customHeight="1" x14ac:dyDescent="0.25">
      <c r="A26" s="859" t="s">
        <v>929</v>
      </c>
      <c r="B26" s="370" t="s">
        <v>860</v>
      </c>
      <c r="C26" s="306"/>
      <c r="D26" s="306"/>
      <c r="E26" s="507"/>
      <c r="F26" s="507">
        <v>10891</v>
      </c>
      <c r="G26" s="507"/>
      <c r="H26" s="507">
        <f t="shared" si="2"/>
        <v>10891</v>
      </c>
      <c r="I26" s="507"/>
      <c r="J26" s="507"/>
      <c r="K26" s="1109"/>
      <c r="L26" s="1110">
        <f t="shared" si="3"/>
        <v>10891</v>
      </c>
      <c r="M26" s="507">
        <f t="shared" si="4"/>
        <v>0</v>
      </c>
      <c r="N26" s="1111">
        <f t="shared" si="5"/>
        <v>10891</v>
      </c>
    </row>
    <row r="27" spans="1:14" s="298" customFormat="1" ht="15" customHeight="1" x14ac:dyDescent="0.25">
      <c r="A27" s="859" t="s">
        <v>930</v>
      </c>
      <c r="B27" s="933" t="s">
        <v>861</v>
      </c>
      <c r="C27" s="306"/>
      <c r="D27" s="306"/>
      <c r="E27" s="507"/>
      <c r="F27" s="507">
        <v>7579</v>
      </c>
      <c r="G27" s="507"/>
      <c r="H27" s="507">
        <f t="shared" ref="H27:H28" si="14">+G27+F27</f>
        <v>7579</v>
      </c>
      <c r="I27" s="507"/>
      <c r="J27" s="507"/>
      <c r="K27" s="1109"/>
      <c r="L27" s="1110">
        <f t="shared" ref="L27:L28" si="15">+C27+F27+I27</f>
        <v>7579</v>
      </c>
      <c r="M27" s="507">
        <f t="shared" ref="M27:M28" si="16">+D27+G27+J27</f>
        <v>0</v>
      </c>
      <c r="N27" s="1111">
        <f t="shared" ref="N27:N28" si="17">+E27+H27+K27</f>
        <v>7579</v>
      </c>
    </row>
    <row r="28" spans="1:14" s="298" customFormat="1" ht="15" customHeight="1" x14ac:dyDescent="0.25">
      <c r="A28" s="859" t="s">
        <v>931</v>
      </c>
      <c r="B28" s="933" t="s">
        <v>932</v>
      </c>
      <c r="C28" s="306"/>
      <c r="D28" s="306"/>
      <c r="E28" s="507"/>
      <c r="F28" s="507">
        <v>2850</v>
      </c>
      <c r="G28" s="507"/>
      <c r="H28" s="507">
        <f t="shared" si="14"/>
        <v>2850</v>
      </c>
      <c r="I28" s="507"/>
      <c r="J28" s="507"/>
      <c r="K28" s="1109"/>
      <c r="L28" s="1110">
        <f t="shared" si="15"/>
        <v>2850</v>
      </c>
      <c r="M28" s="507">
        <f t="shared" si="16"/>
        <v>0</v>
      </c>
      <c r="N28" s="1111">
        <f t="shared" si="17"/>
        <v>2850</v>
      </c>
    </row>
    <row r="29" spans="1:14" s="298" customFormat="1" ht="15" customHeight="1" x14ac:dyDescent="0.25">
      <c r="A29" s="859" t="s">
        <v>928</v>
      </c>
      <c r="B29" s="933" t="s">
        <v>892</v>
      </c>
      <c r="C29" s="306"/>
      <c r="D29" s="306"/>
      <c r="E29" s="507"/>
      <c r="F29" s="507">
        <v>6712</v>
      </c>
      <c r="G29" s="507"/>
      <c r="H29" s="507">
        <f t="shared" si="2"/>
        <v>6712</v>
      </c>
      <c r="I29" s="507"/>
      <c r="J29" s="507"/>
      <c r="K29" s="1109"/>
      <c r="L29" s="1110">
        <f t="shared" si="3"/>
        <v>6712</v>
      </c>
      <c r="M29" s="507">
        <f t="shared" si="4"/>
        <v>0</v>
      </c>
      <c r="N29" s="1111">
        <f t="shared" si="5"/>
        <v>6712</v>
      </c>
    </row>
    <row r="30" spans="1:14" s="298" customFormat="1" ht="35.25" customHeight="1" x14ac:dyDescent="0.25">
      <c r="A30" s="1335" t="s">
        <v>862</v>
      </c>
      <c r="B30" s="1336"/>
      <c r="C30" s="306"/>
      <c r="D30" s="306"/>
      <c r="E30" s="507"/>
      <c r="F30" s="507">
        <f>SUM(F31:F36)+SUM(F42:F43)</f>
        <v>126482</v>
      </c>
      <c r="G30" s="507">
        <f>SUM(G31:G36)+SUM(G42:G43)</f>
        <v>0</v>
      </c>
      <c r="H30" s="507">
        <f t="shared" si="2"/>
        <v>126482</v>
      </c>
      <c r="I30" s="507"/>
      <c r="J30" s="507"/>
      <c r="K30" s="1109"/>
      <c r="L30" s="1110">
        <f t="shared" si="3"/>
        <v>126482</v>
      </c>
      <c r="M30" s="507">
        <f t="shared" si="4"/>
        <v>0</v>
      </c>
      <c r="N30" s="1111">
        <f t="shared" si="5"/>
        <v>126482</v>
      </c>
    </row>
    <row r="31" spans="1:14" s="482" customFormat="1" ht="25.5" customHeight="1" x14ac:dyDescent="0.25">
      <c r="A31" s="859" t="s">
        <v>657</v>
      </c>
      <c r="B31" s="297" t="s">
        <v>480</v>
      </c>
      <c r="C31" s="371"/>
      <c r="D31" s="372"/>
      <c r="E31" s="1104"/>
      <c r="F31" s="507">
        <v>7077</v>
      </c>
      <c r="G31" s="1104"/>
      <c r="H31" s="507">
        <f t="shared" si="2"/>
        <v>7077</v>
      </c>
      <c r="I31" s="1104"/>
      <c r="J31" s="1104"/>
      <c r="K31" s="1112"/>
      <c r="L31" s="1113">
        <f t="shared" ref="L31:L52" si="18">+C31+F31+I31</f>
        <v>7077</v>
      </c>
      <c r="M31" s="1104">
        <f t="shared" si="4"/>
        <v>0</v>
      </c>
      <c r="N31" s="1114">
        <f t="shared" si="5"/>
        <v>7077</v>
      </c>
    </row>
    <row r="32" spans="1:14" s="482" customFormat="1" ht="15" customHeight="1" x14ac:dyDescent="0.25">
      <c r="A32" s="859" t="s">
        <v>824</v>
      </c>
      <c r="B32" s="297" t="s">
        <v>825</v>
      </c>
      <c r="C32" s="371"/>
      <c r="D32" s="372"/>
      <c r="E32" s="1104"/>
      <c r="F32" s="507">
        <v>13148</v>
      </c>
      <c r="G32" s="1104"/>
      <c r="H32" s="507">
        <f t="shared" si="2"/>
        <v>13148</v>
      </c>
      <c r="I32" s="1104"/>
      <c r="J32" s="1104"/>
      <c r="K32" s="1112"/>
      <c r="L32" s="1113"/>
      <c r="M32" s="1104"/>
      <c r="N32" s="1114">
        <f t="shared" si="5"/>
        <v>13148</v>
      </c>
    </row>
    <row r="33" spans="1:14" s="482" customFormat="1" ht="15" customHeight="1" x14ac:dyDescent="0.25">
      <c r="A33" s="859" t="s">
        <v>658</v>
      </c>
      <c r="B33" s="297" t="s">
        <v>446</v>
      </c>
      <c r="C33" s="371"/>
      <c r="D33" s="372"/>
      <c r="E33" s="1104"/>
      <c r="F33" s="507">
        <v>3397</v>
      </c>
      <c r="G33" s="1104"/>
      <c r="H33" s="507">
        <f t="shared" si="2"/>
        <v>3397</v>
      </c>
      <c r="I33" s="1104"/>
      <c r="J33" s="1104"/>
      <c r="K33" s="1112"/>
      <c r="L33" s="1113">
        <f t="shared" si="18"/>
        <v>3397</v>
      </c>
      <c r="M33" s="1104">
        <f t="shared" si="4"/>
        <v>0</v>
      </c>
      <c r="N33" s="1114">
        <f t="shared" si="5"/>
        <v>3397</v>
      </c>
    </row>
    <row r="34" spans="1:14" s="482" customFormat="1" ht="15" customHeight="1" x14ac:dyDescent="0.25">
      <c r="A34" s="859" t="s">
        <v>659</v>
      </c>
      <c r="B34" s="297" t="s">
        <v>479</v>
      </c>
      <c r="C34" s="371"/>
      <c r="D34" s="372"/>
      <c r="E34" s="1104"/>
      <c r="F34" s="507">
        <v>9092</v>
      </c>
      <c r="G34" s="1104"/>
      <c r="H34" s="507">
        <f t="shared" si="2"/>
        <v>9092</v>
      </c>
      <c r="I34" s="1104"/>
      <c r="J34" s="1104"/>
      <c r="K34" s="1112"/>
      <c r="L34" s="1113">
        <f t="shared" si="18"/>
        <v>9092</v>
      </c>
      <c r="M34" s="1104">
        <f t="shared" si="4"/>
        <v>0</v>
      </c>
      <c r="N34" s="1114">
        <f t="shared" si="5"/>
        <v>9092</v>
      </c>
    </row>
    <row r="35" spans="1:14" s="482" customFormat="1" ht="15" customHeight="1" x14ac:dyDescent="0.25">
      <c r="A35" s="859" t="s">
        <v>660</v>
      </c>
      <c r="B35" s="297" t="s">
        <v>481</v>
      </c>
      <c r="C35" s="371"/>
      <c r="D35" s="372"/>
      <c r="E35" s="1104"/>
      <c r="F35" s="507">
        <v>17001</v>
      </c>
      <c r="G35" s="1104"/>
      <c r="H35" s="507">
        <f t="shared" ref="H35:H39" si="19">+G35+F35</f>
        <v>17001</v>
      </c>
      <c r="I35" s="1104"/>
      <c r="J35" s="1104"/>
      <c r="K35" s="1112"/>
      <c r="L35" s="1113">
        <f t="shared" ref="L35:L39" si="20">+C35+F35+I35</f>
        <v>17001</v>
      </c>
      <c r="M35" s="1104">
        <f t="shared" ref="M35:M36" si="21">+D35+G35+J35</f>
        <v>0</v>
      </c>
      <c r="N35" s="1114">
        <f t="shared" ref="N35:N36" si="22">+E35+H35+K35</f>
        <v>17001</v>
      </c>
    </row>
    <row r="36" spans="1:14" s="482" customFormat="1" ht="15" customHeight="1" x14ac:dyDescent="0.25">
      <c r="A36" s="859" t="s">
        <v>661</v>
      </c>
      <c r="B36" s="297" t="s">
        <v>482</v>
      </c>
      <c r="C36" s="371"/>
      <c r="D36" s="372"/>
      <c r="E36" s="1104"/>
      <c r="F36" s="506">
        <v>39534</v>
      </c>
      <c r="G36" s="1104"/>
      <c r="H36" s="507">
        <f>+G36+F36</f>
        <v>39534</v>
      </c>
      <c r="I36" s="1104"/>
      <c r="J36" s="1104"/>
      <c r="K36" s="1112"/>
      <c r="L36" s="1113">
        <f t="shared" si="20"/>
        <v>39534</v>
      </c>
      <c r="M36" s="1104">
        <f t="shared" si="21"/>
        <v>0</v>
      </c>
      <c r="N36" s="1114">
        <f t="shared" si="22"/>
        <v>39534</v>
      </c>
    </row>
    <row r="37" spans="1:14" s="482" customFormat="1" ht="15" hidden="1" customHeight="1" x14ac:dyDescent="0.25">
      <c r="A37" s="599" t="s">
        <v>661</v>
      </c>
      <c r="B37" s="370" t="s">
        <v>805</v>
      </c>
      <c r="C37" s="371"/>
      <c r="D37" s="372"/>
      <c r="E37" s="1104"/>
      <c r="F37" s="769">
        <v>21778</v>
      </c>
      <c r="G37" s="1104"/>
      <c r="H37" s="507">
        <f t="shared" si="19"/>
        <v>21778</v>
      </c>
      <c r="I37" s="1104"/>
      <c r="J37" s="1104"/>
      <c r="K37" s="1112"/>
      <c r="L37" s="1113">
        <f t="shared" si="20"/>
        <v>21778</v>
      </c>
      <c r="M37" s="1104"/>
      <c r="N37" s="1114">
        <f t="shared" ref="N37:N39" si="23">+E37+H37+K37</f>
        <v>21778</v>
      </c>
    </row>
    <row r="38" spans="1:14" s="482" customFormat="1" ht="24.75" hidden="1" customHeight="1" x14ac:dyDescent="0.25">
      <c r="A38" s="599" t="s">
        <v>661</v>
      </c>
      <c r="B38" s="370" t="s">
        <v>806</v>
      </c>
      <c r="C38" s="371"/>
      <c r="D38" s="372"/>
      <c r="E38" s="1104"/>
      <c r="F38" s="769">
        <v>4123</v>
      </c>
      <c r="G38" s="1104"/>
      <c r="H38" s="507">
        <f t="shared" si="19"/>
        <v>4123</v>
      </c>
      <c r="I38" s="1104"/>
      <c r="J38" s="1104"/>
      <c r="K38" s="1112"/>
      <c r="L38" s="1113">
        <f t="shared" si="20"/>
        <v>4123</v>
      </c>
      <c r="M38" s="1104">
        <f t="shared" ref="M38:M39" si="24">+D38+G38+J38</f>
        <v>0</v>
      </c>
      <c r="N38" s="1114">
        <f t="shared" si="23"/>
        <v>4123</v>
      </c>
    </row>
    <row r="39" spans="1:14" s="482" customFormat="1" hidden="1" x14ac:dyDescent="0.25">
      <c r="A39" s="599" t="s">
        <v>661</v>
      </c>
      <c r="B39" s="370" t="s">
        <v>807</v>
      </c>
      <c r="C39" s="371"/>
      <c r="D39" s="372"/>
      <c r="E39" s="1104"/>
      <c r="F39" s="769">
        <v>7020</v>
      </c>
      <c r="G39" s="1104"/>
      <c r="H39" s="507">
        <f t="shared" si="19"/>
        <v>7020</v>
      </c>
      <c r="I39" s="1104"/>
      <c r="J39" s="1104"/>
      <c r="K39" s="1112"/>
      <c r="L39" s="1113">
        <f t="shared" si="20"/>
        <v>7020</v>
      </c>
      <c r="M39" s="1104">
        <f t="shared" si="24"/>
        <v>0</v>
      </c>
      <c r="N39" s="1114">
        <f t="shared" si="23"/>
        <v>7020</v>
      </c>
    </row>
    <row r="40" spans="1:14" s="482" customFormat="1" ht="15" hidden="1" customHeight="1" x14ac:dyDescent="0.25">
      <c r="A40" s="599" t="s">
        <v>661</v>
      </c>
      <c r="B40" s="370" t="s">
        <v>808</v>
      </c>
      <c r="C40" s="371"/>
      <c r="D40" s="372"/>
      <c r="E40" s="1104"/>
      <c r="F40" s="769">
        <v>9544</v>
      </c>
      <c r="G40" s="1104"/>
      <c r="H40" s="507">
        <f t="shared" si="2"/>
        <v>9544</v>
      </c>
      <c r="I40" s="1104"/>
      <c r="J40" s="1104"/>
      <c r="K40" s="1112"/>
      <c r="L40" s="1113">
        <f t="shared" si="18"/>
        <v>9544</v>
      </c>
      <c r="M40" s="1104">
        <f t="shared" si="4"/>
        <v>0</v>
      </c>
      <c r="N40" s="1114">
        <f t="shared" si="5"/>
        <v>9544</v>
      </c>
    </row>
    <row r="41" spans="1:14" s="482" customFormat="1" ht="15" hidden="1" customHeight="1" x14ac:dyDescent="0.25">
      <c r="A41" s="599" t="s">
        <v>661</v>
      </c>
      <c r="B41" s="370" t="s">
        <v>809</v>
      </c>
      <c r="C41" s="371"/>
      <c r="D41" s="372"/>
      <c r="E41" s="1104"/>
      <c r="F41" s="769">
        <v>1131</v>
      </c>
      <c r="G41" s="1104"/>
      <c r="H41" s="507">
        <f t="shared" si="2"/>
        <v>1131</v>
      </c>
      <c r="I41" s="1104"/>
      <c r="J41" s="1104"/>
      <c r="K41" s="1112"/>
      <c r="L41" s="1113">
        <f t="shared" si="18"/>
        <v>1131</v>
      </c>
      <c r="M41" s="1104">
        <f t="shared" si="4"/>
        <v>0</v>
      </c>
      <c r="N41" s="1114">
        <f t="shared" si="5"/>
        <v>1131</v>
      </c>
    </row>
    <row r="42" spans="1:14" s="482" customFormat="1" ht="15" customHeight="1" x14ac:dyDescent="0.25">
      <c r="A42" s="859" t="s">
        <v>662</v>
      </c>
      <c r="B42" s="297" t="s">
        <v>668</v>
      </c>
      <c r="C42" s="371"/>
      <c r="D42" s="372"/>
      <c r="E42" s="1104"/>
      <c r="F42" s="506">
        <v>2904</v>
      </c>
      <c r="G42" s="1104"/>
      <c r="H42" s="507">
        <f t="shared" si="2"/>
        <v>2904</v>
      </c>
      <c r="I42" s="1104"/>
      <c r="J42" s="1104"/>
      <c r="K42" s="1112"/>
      <c r="L42" s="1113">
        <f t="shared" si="18"/>
        <v>2904</v>
      </c>
      <c r="M42" s="1104"/>
      <c r="N42" s="1114">
        <f t="shared" si="5"/>
        <v>2904</v>
      </c>
    </row>
    <row r="43" spans="1:14" s="482" customFormat="1" ht="14.25" customHeight="1" x14ac:dyDescent="0.25">
      <c r="A43" s="859" t="s">
        <v>631</v>
      </c>
      <c r="B43" s="297" t="s">
        <v>810</v>
      </c>
      <c r="C43" s="371"/>
      <c r="D43" s="372"/>
      <c r="E43" s="1104"/>
      <c r="F43" s="506">
        <v>34329</v>
      </c>
      <c r="G43" s="1104"/>
      <c r="H43" s="507">
        <f t="shared" si="2"/>
        <v>34329</v>
      </c>
      <c r="I43" s="1104"/>
      <c r="J43" s="1104"/>
      <c r="K43" s="1112"/>
      <c r="L43" s="1113">
        <f t="shared" si="18"/>
        <v>34329</v>
      </c>
      <c r="M43" s="1104">
        <f t="shared" si="4"/>
        <v>0</v>
      </c>
      <c r="N43" s="1114">
        <f t="shared" si="5"/>
        <v>34329</v>
      </c>
    </row>
    <row r="44" spans="1:14" s="482" customFormat="1" ht="14.25" hidden="1" customHeight="1" x14ac:dyDescent="0.25">
      <c r="A44" s="599" t="s">
        <v>631</v>
      </c>
      <c r="B44" s="370" t="s">
        <v>811</v>
      </c>
      <c r="C44" s="371"/>
      <c r="D44" s="372"/>
      <c r="E44" s="1104"/>
      <c r="F44" s="769">
        <v>702</v>
      </c>
      <c r="G44" s="1104"/>
      <c r="H44" s="507">
        <f t="shared" si="2"/>
        <v>702</v>
      </c>
      <c r="I44" s="1104"/>
      <c r="J44" s="1104"/>
      <c r="K44" s="1112"/>
      <c r="L44" s="1113">
        <f t="shared" si="18"/>
        <v>702</v>
      </c>
      <c r="M44" s="1104">
        <f t="shared" si="4"/>
        <v>0</v>
      </c>
      <c r="N44" s="1114">
        <f t="shared" si="5"/>
        <v>702</v>
      </c>
    </row>
    <row r="45" spans="1:14" s="482" customFormat="1" ht="29.25" hidden="1" customHeight="1" x14ac:dyDescent="0.25">
      <c r="A45" s="599" t="s">
        <v>631</v>
      </c>
      <c r="B45" s="370" t="s">
        <v>859</v>
      </c>
      <c r="C45" s="371"/>
      <c r="D45" s="372"/>
      <c r="E45" s="1104"/>
      <c r="F45" s="769">
        <v>16419</v>
      </c>
      <c r="G45" s="1104"/>
      <c r="H45" s="507">
        <f t="shared" si="2"/>
        <v>16419</v>
      </c>
      <c r="I45" s="1104"/>
      <c r="J45" s="1104"/>
      <c r="K45" s="1112"/>
      <c r="L45" s="1113">
        <f t="shared" ref="L45:L47" si="25">+C45+F45+I45</f>
        <v>16419</v>
      </c>
      <c r="M45" s="1104">
        <f t="shared" ref="M45:M47" si="26">+D45+G45+J45</f>
        <v>0</v>
      </c>
      <c r="N45" s="1114">
        <f t="shared" ref="N45:N47" si="27">+E45+H45+K45</f>
        <v>16419</v>
      </c>
    </row>
    <row r="46" spans="1:14" s="482" customFormat="1" hidden="1" x14ac:dyDescent="0.25">
      <c r="A46" s="599" t="s">
        <v>631</v>
      </c>
      <c r="B46" s="370" t="s">
        <v>860</v>
      </c>
      <c r="C46" s="371"/>
      <c r="D46" s="372"/>
      <c r="E46" s="1104"/>
      <c r="F46" s="769">
        <v>3955</v>
      </c>
      <c r="G46" s="1104"/>
      <c r="H46" s="507">
        <f t="shared" si="2"/>
        <v>3955</v>
      </c>
      <c r="I46" s="1104"/>
      <c r="J46" s="1104"/>
      <c r="K46" s="1112"/>
      <c r="L46" s="1113">
        <f t="shared" si="25"/>
        <v>3955</v>
      </c>
      <c r="M46" s="1104">
        <f t="shared" si="26"/>
        <v>0</v>
      </c>
      <c r="N46" s="1114">
        <f t="shared" si="27"/>
        <v>3955</v>
      </c>
    </row>
    <row r="47" spans="1:14" s="482" customFormat="1" hidden="1" x14ac:dyDescent="0.25">
      <c r="A47" s="599" t="s">
        <v>631</v>
      </c>
      <c r="B47" s="933" t="s">
        <v>861</v>
      </c>
      <c r="C47" s="371"/>
      <c r="D47" s="372"/>
      <c r="E47" s="1104"/>
      <c r="F47" s="769">
        <v>1145</v>
      </c>
      <c r="G47" s="1104"/>
      <c r="H47" s="507">
        <f t="shared" si="2"/>
        <v>1145</v>
      </c>
      <c r="I47" s="1104"/>
      <c r="J47" s="1104"/>
      <c r="K47" s="1112"/>
      <c r="L47" s="1113">
        <f t="shared" si="25"/>
        <v>1145</v>
      </c>
      <c r="M47" s="1104">
        <f t="shared" si="26"/>
        <v>0</v>
      </c>
      <c r="N47" s="1114">
        <f t="shared" si="27"/>
        <v>1145</v>
      </c>
    </row>
    <row r="48" spans="1:14" s="482" customFormat="1" ht="14.25" hidden="1" customHeight="1" x14ac:dyDescent="0.25">
      <c r="A48" s="599" t="s">
        <v>631</v>
      </c>
      <c r="B48" s="370" t="s">
        <v>812</v>
      </c>
      <c r="C48" s="371"/>
      <c r="D48" s="372"/>
      <c r="E48" s="1104"/>
      <c r="F48" s="769">
        <v>9537</v>
      </c>
      <c r="G48" s="1104"/>
      <c r="H48" s="507">
        <f t="shared" si="2"/>
        <v>9537</v>
      </c>
      <c r="I48" s="1104"/>
      <c r="J48" s="1104"/>
      <c r="K48" s="1112"/>
      <c r="L48" s="1113">
        <f t="shared" si="18"/>
        <v>9537</v>
      </c>
      <c r="M48" s="1104">
        <f t="shared" si="4"/>
        <v>0</v>
      </c>
      <c r="N48" s="1114">
        <f t="shared" si="5"/>
        <v>9537</v>
      </c>
    </row>
    <row r="49" spans="1:14" s="482" customFormat="1" ht="26.25" hidden="1" customHeight="1" x14ac:dyDescent="0.25">
      <c r="A49" s="599" t="s">
        <v>631</v>
      </c>
      <c r="B49" s="373" t="s">
        <v>813</v>
      </c>
      <c r="C49" s="371"/>
      <c r="D49" s="372"/>
      <c r="E49" s="1104"/>
      <c r="F49" s="1115">
        <v>2129</v>
      </c>
      <c r="G49" s="1104"/>
      <c r="H49" s="507">
        <f t="shared" si="2"/>
        <v>2129</v>
      </c>
      <c r="I49" s="1104"/>
      <c r="J49" s="1104"/>
      <c r="K49" s="1112"/>
      <c r="L49" s="1113">
        <f t="shared" si="18"/>
        <v>2129</v>
      </c>
      <c r="M49" s="1104">
        <f t="shared" si="4"/>
        <v>0</v>
      </c>
      <c r="N49" s="1114">
        <f t="shared" si="5"/>
        <v>2129</v>
      </c>
    </row>
    <row r="50" spans="1:14" s="482" customFormat="1" ht="29.25" hidden="1" customHeight="1" x14ac:dyDescent="0.25">
      <c r="A50" s="599" t="s">
        <v>631</v>
      </c>
      <c r="B50" s="373" t="s">
        <v>814</v>
      </c>
      <c r="C50" s="374"/>
      <c r="D50" s="375"/>
      <c r="E50" s="1105"/>
      <c r="F50" s="1115">
        <v>5473</v>
      </c>
      <c r="G50" s="1104"/>
      <c r="H50" s="507">
        <f t="shared" si="2"/>
        <v>5473</v>
      </c>
      <c r="I50" s="1104"/>
      <c r="J50" s="1104"/>
      <c r="K50" s="1112"/>
      <c r="L50" s="1113">
        <f t="shared" si="18"/>
        <v>5473</v>
      </c>
      <c r="M50" s="1104">
        <f t="shared" si="4"/>
        <v>0</v>
      </c>
      <c r="N50" s="1114">
        <f t="shared" si="5"/>
        <v>5473</v>
      </c>
    </row>
    <row r="51" spans="1:14" s="482" customFormat="1" ht="15" hidden="1" customHeight="1" x14ac:dyDescent="0.25">
      <c r="A51" s="599" t="s">
        <v>631</v>
      </c>
      <c r="B51" s="373" t="s">
        <v>815</v>
      </c>
      <c r="C51" s="374"/>
      <c r="D51" s="375"/>
      <c r="E51" s="1105"/>
      <c r="F51" s="1115">
        <v>348</v>
      </c>
      <c r="G51" s="1105"/>
      <c r="H51" s="507">
        <f t="shared" si="2"/>
        <v>348</v>
      </c>
      <c r="I51" s="1105"/>
      <c r="J51" s="1105"/>
      <c r="K51" s="1116"/>
      <c r="L51" s="1113">
        <f t="shared" si="18"/>
        <v>348</v>
      </c>
      <c r="M51" s="1104">
        <f t="shared" si="4"/>
        <v>0</v>
      </c>
      <c r="N51" s="1114">
        <f t="shared" si="5"/>
        <v>348</v>
      </c>
    </row>
    <row r="52" spans="1:14" s="298" customFormat="1" ht="38.25" customHeight="1" thickBot="1" x14ac:dyDescent="0.3">
      <c r="A52" s="736"/>
      <c r="B52" s="297" t="s">
        <v>863</v>
      </c>
      <c r="C52" s="737"/>
      <c r="D52" s="737"/>
      <c r="E52" s="1106"/>
      <c r="F52" s="1106"/>
      <c r="G52" s="1106"/>
      <c r="H52" s="1106">
        <f t="shared" si="2"/>
        <v>0</v>
      </c>
      <c r="I52" s="1106">
        <v>1000</v>
      </c>
      <c r="J52" s="1106"/>
      <c r="K52" s="1117">
        <f>+I52+J52</f>
        <v>1000</v>
      </c>
      <c r="L52" s="1118">
        <f t="shared" si="18"/>
        <v>1000</v>
      </c>
      <c r="M52" s="1119">
        <f t="shared" si="4"/>
        <v>0</v>
      </c>
      <c r="N52" s="1120">
        <f t="shared" si="5"/>
        <v>1000</v>
      </c>
    </row>
    <row r="53" spans="1:14" ht="13.5" thickBot="1" x14ac:dyDescent="0.25">
      <c r="A53" s="1343" t="s">
        <v>180</v>
      </c>
      <c r="B53" s="1344"/>
      <c r="C53" s="51">
        <f>+C22+C12+C8+C5+C4</f>
        <v>148870</v>
      </c>
      <c r="D53" s="51">
        <f>+D22+D12</f>
        <v>-1231</v>
      </c>
      <c r="E53" s="1040">
        <f>+E22+E12+E8+E5+E4</f>
        <v>147639</v>
      </c>
      <c r="F53" s="1040">
        <f>F4+F5+F8+F30+F24+F10+F9</f>
        <v>198353</v>
      </c>
      <c r="G53" s="1040">
        <f>G4+G5+G8+G30+G24+G10+G9</f>
        <v>0</v>
      </c>
      <c r="H53" s="1040">
        <f>H4+H5+H8+H30+H24+H10+H9</f>
        <v>198353</v>
      </c>
      <c r="I53" s="1040">
        <f>SUM(I4:I52)</f>
        <v>2300</v>
      </c>
      <c r="J53" s="1040">
        <f>SUM(J4:J52)</f>
        <v>0</v>
      </c>
      <c r="K53" s="1121">
        <f>SUM(K4:K52)</f>
        <v>2300</v>
      </c>
      <c r="L53" s="1122">
        <f>+C53+F53+I53</f>
        <v>349523</v>
      </c>
      <c r="M53" s="1122">
        <f t="shared" si="4"/>
        <v>-1231</v>
      </c>
      <c r="N53" s="1122">
        <f t="shared" si="5"/>
        <v>348292</v>
      </c>
    </row>
  </sheetData>
  <mergeCells count="29">
    <mergeCell ref="C5:C7"/>
    <mergeCell ref="E5:E7"/>
    <mergeCell ref="D5:D7"/>
    <mergeCell ref="A53:B53"/>
    <mergeCell ref="A12:B12"/>
    <mergeCell ref="A22:B22"/>
    <mergeCell ref="A30:B30"/>
    <mergeCell ref="A1:A2"/>
    <mergeCell ref="B1:B2"/>
    <mergeCell ref="A23:B23"/>
    <mergeCell ref="A24:B24"/>
    <mergeCell ref="A5:A7"/>
    <mergeCell ref="B5:B7"/>
    <mergeCell ref="C1:E1"/>
    <mergeCell ref="F1:H1"/>
    <mergeCell ref="C2:E2"/>
    <mergeCell ref="I1:K1"/>
    <mergeCell ref="I2:K2"/>
    <mergeCell ref="F5:F7"/>
    <mergeCell ref="G5:G7"/>
    <mergeCell ref="H5:H7"/>
    <mergeCell ref="L1:N2"/>
    <mergeCell ref="F2:H2"/>
    <mergeCell ref="I5:I7"/>
    <mergeCell ref="J5:J7"/>
    <mergeCell ref="K5:K7"/>
    <mergeCell ref="L5:L7"/>
    <mergeCell ref="M5:M7"/>
    <mergeCell ref="N5:N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&amp;C&amp;"Times New Roman,Félkövér"&amp;12Martonvásár Város Önkormányzatának kiadásai 2021.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01"/>
  <sheetViews>
    <sheetView zoomScaleNormal="100" zoomScaleSheetLayoutView="80" workbookViewId="0">
      <pane xSplit="3" ySplit="4" topLeftCell="F20" activePane="bottomRight" state="frozen"/>
      <selection activeCell="B40" sqref="B40"/>
      <selection pane="topRight" activeCell="B40" sqref="B40"/>
      <selection pane="bottomLeft" activeCell="B40" sqref="B40"/>
      <selection pane="bottomRight" activeCell="AF63" sqref="AF63"/>
    </sheetView>
  </sheetViews>
  <sheetFormatPr defaultColWidth="9.140625" defaultRowHeight="15" x14ac:dyDescent="0.25"/>
  <cols>
    <col min="1" max="1" width="6.140625" style="1175" customWidth="1"/>
    <col min="2" max="2" width="7.140625" style="1054" customWidth="1"/>
    <col min="3" max="3" width="42.42578125" style="1054" customWidth="1"/>
    <col min="4" max="4" width="8.85546875" style="615" customWidth="1"/>
    <col min="5" max="5" width="10.5703125" style="615" bestFit="1" customWidth="1"/>
    <col min="6" max="6" width="10" style="615" customWidth="1"/>
    <col min="7" max="8" width="7.28515625" style="615" customWidth="1"/>
    <col min="9" max="9" width="8.140625" style="615" bestFit="1" customWidth="1"/>
    <col min="10" max="10" width="6.85546875" style="615" customWidth="1"/>
    <col min="11" max="11" width="7.7109375" style="615" customWidth="1"/>
    <col min="12" max="12" width="8" style="615" bestFit="1" customWidth="1"/>
    <col min="13" max="14" width="7.7109375" style="615" customWidth="1"/>
    <col min="15" max="15" width="9.7109375" style="615" customWidth="1"/>
    <col min="16" max="16" width="6.140625" style="615" customWidth="1"/>
    <col min="17" max="17" width="6.7109375" style="615" customWidth="1"/>
    <col min="18" max="19" width="7" style="615" customWidth="1"/>
    <col min="20" max="20" width="6.42578125" style="615" customWidth="1"/>
    <col min="21" max="21" width="7.42578125" style="615" customWidth="1"/>
    <col min="22" max="22" width="7.7109375" style="615" customWidth="1"/>
    <col min="23" max="23" width="5.85546875" style="615" customWidth="1"/>
    <col min="24" max="30" width="6.42578125" style="615" customWidth="1"/>
    <col min="31" max="31" width="8" style="615" customWidth="1"/>
    <col min="32" max="32" width="8.42578125" style="615" customWidth="1"/>
    <col min="33" max="33" width="9.140625" style="615" customWidth="1"/>
    <col min="34" max="36" width="8.85546875" style="739" customWidth="1"/>
    <col min="37" max="16384" width="9.140625" style="615"/>
  </cols>
  <sheetData>
    <row r="1" spans="1:33" s="739" customFormat="1" ht="16.5" thickBot="1" x14ac:dyDescent="0.3">
      <c r="A1" s="1347"/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7"/>
      <c r="Q1" s="1347"/>
      <c r="R1" s="1347"/>
      <c r="S1" s="1347"/>
      <c r="T1" s="1347"/>
      <c r="U1" s="1347"/>
      <c r="V1" s="1347"/>
      <c r="W1" s="1347"/>
      <c r="X1" s="1347"/>
      <c r="Y1" s="1347"/>
      <c r="Z1" s="1347"/>
      <c r="AA1" s="1347"/>
      <c r="AB1" s="1347"/>
      <c r="AC1" s="1347"/>
      <c r="AD1" s="1347"/>
      <c r="AE1" s="1347"/>
      <c r="AF1" s="1347"/>
      <c r="AG1" s="1347"/>
    </row>
    <row r="2" spans="1:33" s="1169" customFormat="1" ht="38.25" customHeight="1" x14ac:dyDescent="0.25">
      <c r="A2" s="1260" t="s">
        <v>0</v>
      </c>
      <c r="B2" s="1262" t="s">
        <v>182</v>
      </c>
      <c r="C2" s="1263"/>
      <c r="D2" s="1283" t="s">
        <v>180</v>
      </c>
      <c r="E2" s="1251"/>
      <c r="F2" s="1259"/>
      <c r="G2" s="1283" t="s">
        <v>181</v>
      </c>
      <c r="H2" s="1251"/>
      <c r="I2" s="1251"/>
      <c r="J2" s="1251" t="s">
        <v>560</v>
      </c>
      <c r="K2" s="1251"/>
      <c r="L2" s="1251"/>
      <c r="M2" s="1251" t="s">
        <v>816</v>
      </c>
      <c r="N2" s="1251"/>
      <c r="O2" s="1251"/>
      <c r="P2" s="1349" t="s">
        <v>823</v>
      </c>
      <c r="Q2" s="1350"/>
      <c r="R2" s="1283"/>
      <c r="S2" s="1251" t="s">
        <v>864</v>
      </c>
      <c r="T2" s="1251"/>
      <c r="U2" s="1251"/>
      <c r="V2" s="1251" t="s">
        <v>733</v>
      </c>
      <c r="W2" s="1251"/>
      <c r="X2" s="1251"/>
      <c r="Y2" s="1348" t="s">
        <v>298</v>
      </c>
      <c r="Z2" s="1348"/>
      <c r="AA2" s="1348"/>
      <c r="AB2" s="1348" t="s">
        <v>986</v>
      </c>
      <c r="AC2" s="1348"/>
      <c r="AD2" s="1348"/>
      <c r="AE2" s="1251" t="s">
        <v>265</v>
      </c>
      <c r="AF2" s="1251"/>
      <c r="AG2" s="1259"/>
    </row>
    <row r="3" spans="1:33" s="1169" customFormat="1" ht="12.75" customHeight="1" x14ac:dyDescent="0.25">
      <c r="A3" s="1261"/>
      <c r="B3" s="1246"/>
      <c r="C3" s="1264"/>
      <c r="D3" s="1279"/>
      <c r="E3" s="1252"/>
      <c r="F3" s="1253"/>
      <c r="G3" s="1279" t="s">
        <v>189</v>
      </c>
      <c r="H3" s="1252"/>
      <c r="I3" s="1252"/>
      <c r="J3" s="1252" t="s">
        <v>189</v>
      </c>
      <c r="K3" s="1252"/>
      <c r="L3" s="1252"/>
      <c r="M3" s="1252" t="s">
        <v>189</v>
      </c>
      <c r="N3" s="1252"/>
      <c r="O3" s="1252"/>
      <c r="P3" s="1258" t="s">
        <v>189</v>
      </c>
      <c r="Q3" s="1278"/>
      <c r="R3" s="1279"/>
      <c r="S3" s="1258" t="s">
        <v>189</v>
      </c>
      <c r="T3" s="1278"/>
      <c r="U3" s="1279"/>
      <c r="V3" s="1252" t="s">
        <v>189</v>
      </c>
      <c r="W3" s="1252"/>
      <c r="X3" s="1252"/>
      <c r="Y3" s="1346" t="s">
        <v>190</v>
      </c>
      <c r="Z3" s="1346"/>
      <c r="AA3" s="1346"/>
      <c r="AB3" s="1346"/>
      <c r="AC3" s="1346"/>
      <c r="AD3" s="1346"/>
      <c r="AE3" s="1252"/>
      <c r="AF3" s="1252"/>
      <c r="AG3" s="1253"/>
    </row>
    <row r="4" spans="1:33" s="1170" customFormat="1" ht="25.5" x14ac:dyDescent="0.25">
      <c r="A4" s="1261"/>
      <c r="B4" s="1246"/>
      <c r="C4" s="1264"/>
      <c r="D4" s="1055" t="s">
        <v>944</v>
      </c>
      <c r="E4" s="1128" t="s">
        <v>684</v>
      </c>
      <c r="F4" s="1041" t="s">
        <v>941</v>
      </c>
      <c r="G4" s="1055" t="s">
        <v>944</v>
      </c>
      <c r="H4" s="1128" t="s">
        <v>684</v>
      </c>
      <c r="I4" s="1128" t="s">
        <v>941</v>
      </c>
      <c r="J4" s="1128" t="s">
        <v>944</v>
      </c>
      <c r="K4" s="1128" t="s">
        <v>684</v>
      </c>
      <c r="L4" s="1128" t="s">
        <v>941</v>
      </c>
      <c r="M4" s="1128" t="s">
        <v>944</v>
      </c>
      <c r="N4" s="1128" t="s">
        <v>684</v>
      </c>
      <c r="O4" s="1128" t="s">
        <v>941</v>
      </c>
      <c r="P4" s="1128" t="s">
        <v>944</v>
      </c>
      <c r="Q4" s="1128" t="s">
        <v>684</v>
      </c>
      <c r="R4" s="1128" t="s">
        <v>941</v>
      </c>
      <c r="S4" s="1128" t="s">
        <v>944</v>
      </c>
      <c r="T4" s="1128" t="s">
        <v>684</v>
      </c>
      <c r="U4" s="1128" t="s">
        <v>941</v>
      </c>
      <c r="V4" s="1128" t="s">
        <v>944</v>
      </c>
      <c r="W4" s="1128" t="s">
        <v>684</v>
      </c>
      <c r="X4" s="1128" t="s">
        <v>941</v>
      </c>
      <c r="Y4" s="1128" t="s">
        <v>944</v>
      </c>
      <c r="Z4" s="1128" t="s">
        <v>684</v>
      </c>
      <c r="AA4" s="1128" t="s">
        <v>941</v>
      </c>
      <c r="AB4" s="1128" t="s">
        <v>944</v>
      </c>
      <c r="AC4" s="1128" t="s">
        <v>684</v>
      </c>
      <c r="AD4" s="1128" t="s">
        <v>941</v>
      </c>
      <c r="AE4" s="1128" t="s">
        <v>944</v>
      </c>
      <c r="AF4" s="1128" t="s">
        <v>684</v>
      </c>
      <c r="AG4" s="1041" t="s">
        <v>941</v>
      </c>
    </row>
    <row r="5" spans="1:33" s="1151" customFormat="1" ht="12.95" customHeight="1" x14ac:dyDescent="0.2">
      <c r="A5" s="503" t="s">
        <v>27</v>
      </c>
      <c r="B5" s="1240" t="s">
        <v>174</v>
      </c>
      <c r="C5" s="1225"/>
      <c r="D5" s="965">
        <f t="shared" ref="D5:F7" si="0">+G5+M5+P5+S5+V5+AE5+J5+Y5+AB5</f>
        <v>0</v>
      </c>
      <c r="E5" s="965">
        <f t="shared" si="0"/>
        <v>0</v>
      </c>
      <c r="F5" s="965">
        <f t="shared" si="0"/>
        <v>0</v>
      </c>
      <c r="G5" s="965"/>
      <c r="H5" s="703"/>
      <c r="I5" s="703">
        <f>+H5+G5</f>
        <v>0</v>
      </c>
      <c r="J5" s="703"/>
      <c r="K5" s="703"/>
      <c r="L5" s="703">
        <f>+K5+J5</f>
        <v>0</v>
      </c>
      <c r="M5" s="703"/>
      <c r="N5" s="703"/>
      <c r="O5" s="703">
        <f>+N5+M5</f>
        <v>0</v>
      </c>
      <c r="P5" s="703"/>
      <c r="Q5" s="703"/>
      <c r="R5" s="703"/>
      <c r="S5" s="703"/>
      <c r="T5" s="703"/>
      <c r="U5" s="703"/>
      <c r="V5" s="703"/>
      <c r="W5" s="703"/>
      <c r="X5" s="703">
        <f>+W5+V5</f>
        <v>0</v>
      </c>
      <c r="Y5" s="703"/>
      <c r="Z5" s="703"/>
      <c r="AA5" s="703">
        <f>+Z5+Y5</f>
        <v>0</v>
      </c>
      <c r="AB5" s="703"/>
      <c r="AC5" s="703"/>
      <c r="AD5" s="703">
        <f>+AC5+AB5</f>
        <v>0</v>
      </c>
      <c r="AE5" s="703"/>
      <c r="AF5" s="703"/>
      <c r="AG5" s="1042">
        <f>+AF5+AE5</f>
        <v>0</v>
      </c>
    </row>
    <row r="6" spans="1:33" s="1151" customFormat="1" ht="12.95" customHeight="1" x14ac:dyDescent="0.2">
      <c r="A6" s="503" t="s">
        <v>33</v>
      </c>
      <c r="B6" s="1240" t="s">
        <v>173</v>
      </c>
      <c r="C6" s="1225"/>
      <c r="D6" s="965">
        <f t="shared" si="0"/>
        <v>570</v>
      </c>
      <c r="E6" s="703">
        <f t="shared" si="0"/>
        <v>0</v>
      </c>
      <c r="F6" s="1042">
        <f t="shared" si="0"/>
        <v>570</v>
      </c>
      <c r="G6" s="965"/>
      <c r="H6" s="703"/>
      <c r="I6" s="703">
        <f t="shared" ref="I6:I68" si="1">+H6+G6</f>
        <v>0</v>
      </c>
      <c r="J6" s="703">
        <v>120</v>
      </c>
      <c r="K6" s="703"/>
      <c r="L6" s="703">
        <f t="shared" ref="L6:L68" si="2">+K6+J6</f>
        <v>120</v>
      </c>
      <c r="M6" s="703"/>
      <c r="N6" s="703"/>
      <c r="O6" s="703">
        <f t="shared" ref="O6:O68" si="3">+N6+M6</f>
        <v>0</v>
      </c>
      <c r="P6" s="703"/>
      <c r="Q6" s="703"/>
      <c r="R6" s="703"/>
      <c r="S6" s="703"/>
      <c r="T6" s="703"/>
      <c r="U6" s="703"/>
      <c r="V6" s="703"/>
      <c r="W6" s="703"/>
      <c r="X6" s="703">
        <f t="shared" ref="X6:X68" si="4">+W6+V6</f>
        <v>0</v>
      </c>
      <c r="Y6" s="703"/>
      <c r="Z6" s="703"/>
      <c r="AA6" s="703">
        <f t="shared" ref="AA6:AA68" si="5">+Z6+Y6</f>
        <v>0</v>
      </c>
      <c r="AB6" s="703">
        <v>450</v>
      </c>
      <c r="AC6" s="703"/>
      <c r="AD6" s="703">
        <f t="shared" ref="AD6:AD68" si="6">+AC6+AB6</f>
        <v>450</v>
      </c>
      <c r="AE6" s="703"/>
      <c r="AF6" s="703"/>
      <c r="AG6" s="1042">
        <f t="shared" ref="AG6:AG69" si="7">+AF6+AE6</f>
        <v>0</v>
      </c>
    </row>
    <row r="7" spans="1:33" s="1151" customFormat="1" ht="12.95" customHeight="1" x14ac:dyDescent="0.2">
      <c r="A7" s="503" t="s">
        <v>34</v>
      </c>
      <c r="B7" s="1240" t="s">
        <v>172</v>
      </c>
      <c r="C7" s="1225"/>
      <c r="D7" s="965">
        <f t="shared" si="0"/>
        <v>570</v>
      </c>
      <c r="E7" s="703">
        <f t="shared" si="0"/>
        <v>0</v>
      </c>
      <c r="F7" s="1042">
        <f t="shared" si="0"/>
        <v>570</v>
      </c>
      <c r="G7" s="703">
        <f>SUM(G5:G6)</f>
        <v>0</v>
      </c>
      <c r="H7" s="703">
        <f t="shared" ref="H7" si="8">SUM(H5:H6)</f>
        <v>0</v>
      </c>
      <c r="I7" s="703">
        <f t="shared" si="1"/>
        <v>0</v>
      </c>
      <c r="J7" s="703">
        <f t="shared" ref="J7" si="9">SUM(J5:J6)</f>
        <v>120</v>
      </c>
      <c r="K7" s="703">
        <f t="shared" ref="K7" si="10">SUM(K5:K6)</f>
        <v>0</v>
      </c>
      <c r="L7" s="703">
        <f t="shared" si="2"/>
        <v>120</v>
      </c>
      <c r="M7" s="703">
        <f t="shared" ref="M7" si="11">SUM(M5:M6)</f>
        <v>0</v>
      </c>
      <c r="N7" s="703">
        <f t="shared" ref="N7" si="12">SUM(N5:N6)</f>
        <v>0</v>
      </c>
      <c r="O7" s="703">
        <f t="shared" si="3"/>
        <v>0</v>
      </c>
      <c r="P7" s="703">
        <f t="shared" ref="P7:Q7" si="13">SUM(P5:P6)</f>
        <v>0</v>
      </c>
      <c r="Q7" s="703">
        <f t="shared" si="13"/>
        <v>0</v>
      </c>
      <c r="R7" s="703">
        <f t="shared" ref="R7" si="14">+Q7+P7</f>
        <v>0</v>
      </c>
      <c r="S7" s="703">
        <f t="shared" ref="S7:T7" si="15">SUM(S5:S6)</f>
        <v>0</v>
      </c>
      <c r="T7" s="703">
        <f t="shared" si="15"/>
        <v>0</v>
      </c>
      <c r="U7" s="703">
        <f t="shared" ref="U7" si="16">+T7+S7</f>
        <v>0</v>
      </c>
      <c r="V7" s="703">
        <f>SUM(V5:V6)</f>
        <v>0</v>
      </c>
      <c r="W7" s="703">
        <f>SUM(W5:W6)</f>
        <v>0</v>
      </c>
      <c r="X7" s="703">
        <f t="shared" si="4"/>
        <v>0</v>
      </c>
      <c r="Y7" s="703">
        <f t="shared" ref="Y7:Z7" si="17">SUM(Y5:Y6)</f>
        <v>0</v>
      </c>
      <c r="Z7" s="703">
        <f t="shared" si="17"/>
        <v>0</v>
      </c>
      <c r="AA7" s="703">
        <f t="shared" si="5"/>
        <v>0</v>
      </c>
      <c r="AB7" s="703">
        <f t="shared" ref="AB7" si="18">SUM(AB5:AB6)</f>
        <v>450</v>
      </c>
      <c r="AC7" s="703">
        <f t="shared" ref="AC7" si="19">SUM(AC5:AC6)</f>
        <v>0</v>
      </c>
      <c r="AD7" s="703">
        <f t="shared" si="6"/>
        <v>450</v>
      </c>
      <c r="AE7" s="703">
        <f t="shared" ref="AE7:AF7" si="20">SUM(AE5:AE6)</f>
        <v>0</v>
      </c>
      <c r="AF7" s="703">
        <f t="shared" si="20"/>
        <v>0</v>
      </c>
      <c r="AG7" s="1042">
        <f t="shared" si="7"/>
        <v>0</v>
      </c>
    </row>
    <row r="8" spans="1:33" ht="10.5" customHeight="1" x14ac:dyDescent="0.25">
      <c r="A8" s="504"/>
      <c r="B8" s="1131"/>
      <c r="C8" s="1132"/>
      <c r="D8" s="804"/>
      <c r="E8" s="804"/>
      <c r="F8" s="1043"/>
      <c r="G8" s="600"/>
      <c r="H8" s="600"/>
      <c r="I8" s="804"/>
      <c r="J8" s="600"/>
      <c r="K8" s="600"/>
      <c r="L8" s="804"/>
      <c r="M8" s="600"/>
      <c r="N8" s="600"/>
      <c r="O8" s="804"/>
      <c r="P8" s="600"/>
      <c r="Q8" s="600"/>
      <c r="R8" s="600"/>
      <c r="S8" s="600"/>
      <c r="T8" s="600"/>
      <c r="U8" s="600"/>
      <c r="V8" s="600"/>
      <c r="W8" s="600"/>
      <c r="X8" s="804"/>
      <c r="Y8" s="600"/>
      <c r="Z8" s="600"/>
      <c r="AA8" s="804"/>
      <c r="AB8" s="600"/>
      <c r="AC8" s="600"/>
      <c r="AD8" s="804"/>
      <c r="AE8" s="600"/>
      <c r="AF8" s="600"/>
      <c r="AG8" s="1043"/>
    </row>
    <row r="9" spans="1:33" s="1151" customFormat="1" ht="12.95" customHeight="1" x14ac:dyDescent="0.2">
      <c r="A9" s="503" t="s">
        <v>35</v>
      </c>
      <c r="B9" s="1240" t="s">
        <v>171</v>
      </c>
      <c r="C9" s="1225"/>
      <c r="D9" s="965">
        <f>+G9+M9+P9+S9+V9+AE9+J9+Y9+AB9</f>
        <v>179</v>
      </c>
      <c r="E9" s="703">
        <f>+H9+N9+Q9+T9+W9+AF9+K9+Z9+AC9</f>
        <v>0</v>
      </c>
      <c r="F9" s="1042">
        <f>+I9+O9+R9+U9+X9+AG9+L9+AA9+AD9</f>
        <v>179</v>
      </c>
      <c r="G9" s="965"/>
      <c r="H9" s="703"/>
      <c r="I9" s="703">
        <f t="shared" si="1"/>
        <v>0</v>
      </c>
      <c r="J9" s="703">
        <v>17</v>
      </c>
      <c r="K9" s="703"/>
      <c r="L9" s="703">
        <f t="shared" si="2"/>
        <v>17</v>
      </c>
      <c r="M9" s="703"/>
      <c r="N9" s="703"/>
      <c r="O9" s="703">
        <f t="shared" si="3"/>
        <v>0</v>
      </c>
      <c r="P9" s="703"/>
      <c r="Q9" s="703"/>
      <c r="R9" s="703"/>
      <c r="S9" s="703"/>
      <c r="T9" s="703"/>
      <c r="U9" s="703"/>
      <c r="V9" s="703"/>
      <c r="W9" s="703"/>
      <c r="X9" s="703">
        <f t="shared" si="4"/>
        <v>0</v>
      </c>
      <c r="Y9" s="703"/>
      <c r="Z9" s="703"/>
      <c r="AA9" s="703">
        <f t="shared" si="5"/>
        <v>0</v>
      </c>
      <c r="AB9" s="703">
        <v>162</v>
      </c>
      <c r="AC9" s="703"/>
      <c r="AD9" s="703">
        <f t="shared" si="6"/>
        <v>162</v>
      </c>
      <c r="AE9" s="703"/>
      <c r="AF9" s="703"/>
      <c r="AG9" s="1042">
        <f t="shared" si="7"/>
        <v>0</v>
      </c>
    </row>
    <row r="10" spans="1:33" ht="10.5" customHeight="1" x14ac:dyDescent="0.25">
      <c r="A10" s="88"/>
      <c r="C10" s="304"/>
      <c r="D10" s="804"/>
      <c r="E10" s="804"/>
      <c r="F10" s="1043"/>
      <c r="G10" s="600"/>
      <c r="H10" s="600"/>
      <c r="I10" s="804"/>
      <c r="J10" s="600"/>
      <c r="K10" s="600"/>
      <c r="L10" s="804"/>
      <c r="M10" s="600"/>
      <c r="N10" s="600"/>
      <c r="O10" s="804"/>
      <c r="P10" s="600"/>
      <c r="Q10" s="600"/>
      <c r="R10" s="600"/>
      <c r="S10" s="600"/>
      <c r="T10" s="600"/>
      <c r="U10" s="600"/>
      <c r="V10" s="600"/>
      <c r="W10" s="600"/>
      <c r="X10" s="804"/>
      <c r="Y10" s="600"/>
      <c r="Z10" s="600"/>
      <c r="AA10" s="804"/>
      <c r="AB10" s="600"/>
      <c r="AC10" s="600"/>
      <c r="AD10" s="804"/>
      <c r="AE10" s="600"/>
      <c r="AF10" s="600"/>
      <c r="AG10" s="1043"/>
    </row>
    <row r="11" spans="1:33" ht="12.95" customHeight="1" x14ac:dyDescent="0.25">
      <c r="A11" s="505" t="s">
        <v>42</v>
      </c>
      <c r="B11" s="1236" t="s">
        <v>41</v>
      </c>
      <c r="C11" s="1235"/>
      <c r="D11" s="965">
        <f t="shared" ref="D11:D35" si="21">+G11+M11+P11+S11+V11+AE11+J11+Y11+AB11</f>
        <v>1004</v>
      </c>
      <c r="E11" s="703">
        <f t="shared" ref="E11:E35" si="22">+H11+N11+Q11+T11+W11+AF11+K11+Z11+AC11</f>
        <v>-500</v>
      </c>
      <c r="F11" s="1042">
        <f t="shared" ref="F11:F35" si="23">+I11+O11+R11+U11+X11+AG11+L11+AA11+AD11</f>
        <v>504</v>
      </c>
      <c r="G11" s="746"/>
      <c r="H11" s="446"/>
      <c r="I11" s="703">
        <f t="shared" si="1"/>
        <v>0</v>
      </c>
      <c r="J11" s="446"/>
      <c r="K11" s="446"/>
      <c r="L11" s="703">
        <f t="shared" si="2"/>
        <v>0</v>
      </c>
      <c r="M11" s="446"/>
      <c r="N11" s="446"/>
      <c r="O11" s="703">
        <f t="shared" si="3"/>
        <v>0</v>
      </c>
      <c r="P11" s="446"/>
      <c r="Q11" s="446"/>
      <c r="R11" s="446"/>
      <c r="S11" s="446">
        <v>1004</v>
      </c>
      <c r="T11" s="446">
        <v>-500</v>
      </c>
      <c r="U11" s="446">
        <f>+S11+T11</f>
        <v>504</v>
      </c>
      <c r="V11" s="446"/>
      <c r="W11" s="446"/>
      <c r="X11" s="703">
        <f t="shared" si="4"/>
        <v>0</v>
      </c>
      <c r="Y11" s="446"/>
      <c r="Z11" s="446"/>
      <c r="AA11" s="703">
        <f t="shared" si="5"/>
        <v>0</v>
      </c>
      <c r="AB11" s="446"/>
      <c r="AC11" s="446"/>
      <c r="AD11" s="703">
        <f t="shared" si="6"/>
        <v>0</v>
      </c>
      <c r="AE11" s="446"/>
      <c r="AF11" s="446"/>
      <c r="AG11" s="1042">
        <f t="shared" si="7"/>
        <v>0</v>
      </c>
    </row>
    <row r="12" spans="1:33" ht="12.95" customHeight="1" x14ac:dyDescent="0.25">
      <c r="A12" s="505" t="s">
        <v>44</v>
      </c>
      <c r="B12" s="1236" t="s">
        <v>43</v>
      </c>
      <c r="C12" s="1235"/>
      <c r="D12" s="965">
        <f t="shared" si="21"/>
        <v>950</v>
      </c>
      <c r="E12" s="703">
        <f t="shared" si="22"/>
        <v>0</v>
      </c>
      <c r="F12" s="1042">
        <f t="shared" si="23"/>
        <v>950</v>
      </c>
      <c r="G12" s="746">
        <v>305</v>
      </c>
      <c r="H12" s="446"/>
      <c r="I12" s="703">
        <f t="shared" si="1"/>
        <v>305</v>
      </c>
      <c r="J12" s="446"/>
      <c r="K12" s="446"/>
      <c r="L12" s="703">
        <f t="shared" si="2"/>
        <v>0</v>
      </c>
      <c r="M12" s="446"/>
      <c r="N12" s="446"/>
      <c r="O12" s="703">
        <f t="shared" si="3"/>
        <v>0</v>
      </c>
      <c r="P12" s="446">
        <v>245</v>
      </c>
      <c r="Q12" s="446"/>
      <c r="R12" s="446">
        <f>+P12+Q12</f>
        <v>245</v>
      </c>
      <c r="S12" s="446"/>
      <c r="T12" s="446"/>
      <c r="U12" s="446"/>
      <c r="V12" s="446"/>
      <c r="W12" s="446"/>
      <c r="X12" s="703">
        <f t="shared" si="4"/>
        <v>0</v>
      </c>
      <c r="Y12" s="446"/>
      <c r="Z12" s="446"/>
      <c r="AA12" s="703">
        <f t="shared" si="5"/>
        <v>0</v>
      </c>
      <c r="AB12" s="446">
        <v>400</v>
      </c>
      <c r="AC12" s="446">
        <f>10-10</f>
        <v>0</v>
      </c>
      <c r="AD12" s="703">
        <f t="shared" si="6"/>
        <v>400</v>
      </c>
      <c r="AE12" s="446"/>
      <c r="AF12" s="446"/>
      <c r="AG12" s="1042">
        <f t="shared" si="7"/>
        <v>0</v>
      </c>
    </row>
    <row r="13" spans="1:33" ht="12.95" customHeight="1" x14ac:dyDescent="0.25">
      <c r="A13" s="505" t="s">
        <v>46</v>
      </c>
      <c r="B13" s="1236" t="s">
        <v>45</v>
      </c>
      <c r="C13" s="1235"/>
      <c r="D13" s="965">
        <f t="shared" si="21"/>
        <v>0</v>
      </c>
      <c r="E13" s="703">
        <f t="shared" si="22"/>
        <v>0</v>
      </c>
      <c r="F13" s="1042">
        <f t="shared" si="23"/>
        <v>0</v>
      </c>
      <c r="G13" s="746"/>
      <c r="H13" s="446"/>
      <c r="I13" s="703">
        <f t="shared" si="1"/>
        <v>0</v>
      </c>
      <c r="J13" s="446"/>
      <c r="K13" s="446"/>
      <c r="L13" s="703">
        <f t="shared" si="2"/>
        <v>0</v>
      </c>
      <c r="M13" s="446"/>
      <c r="N13" s="446"/>
      <c r="O13" s="703">
        <f t="shared" si="3"/>
        <v>0</v>
      </c>
      <c r="P13" s="446"/>
      <c r="Q13" s="446"/>
      <c r="R13" s="446"/>
      <c r="S13" s="446"/>
      <c r="T13" s="446"/>
      <c r="U13" s="446"/>
      <c r="V13" s="446"/>
      <c r="W13" s="446"/>
      <c r="X13" s="703">
        <f t="shared" si="4"/>
        <v>0</v>
      </c>
      <c r="Y13" s="446"/>
      <c r="Z13" s="446"/>
      <c r="AA13" s="703">
        <f t="shared" si="5"/>
        <v>0</v>
      </c>
      <c r="AB13" s="446"/>
      <c r="AC13" s="446"/>
      <c r="AD13" s="703">
        <f t="shared" si="6"/>
        <v>0</v>
      </c>
      <c r="AE13" s="446"/>
      <c r="AF13" s="446"/>
      <c r="AG13" s="1042">
        <f t="shared" si="7"/>
        <v>0</v>
      </c>
    </row>
    <row r="14" spans="1:33" s="1151" customFormat="1" ht="12.95" customHeight="1" x14ac:dyDescent="0.2">
      <c r="A14" s="503" t="s">
        <v>47</v>
      </c>
      <c r="B14" s="1240" t="s">
        <v>170</v>
      </c>
      <c r="C14" s="1225"/>
      <c r="D14" s="965">
        <f t="shared" si="21"/>
        <v>1954</v>
      </c>
      <c r="E14" s="703">
        <f t="shared" si="22"/>
        <v>-500</v>
      </c>
      <c r="F14" s="1042">
        <f t="shared" si="23"/>
        <v>1454</v>
      </c>
      <c r="G14" s="965">
        <f t="shared" ref="G14" si="24">SUM(G11:G13)</f>
        <v>305</v>
      </c>
      <c r="H14" s="703">
        <f t="shared" ref="H14" si="25">SUM(H11:H13)</f>
        <v>0</v>
      </c>
      <c r="I14" s="703">
        <f t="shared" si="1"/>
        <v>305</v>
      </c>
      <c r="J14" s="703">
        <f t="shared" ref="J14" si="26">SUM(J11:J13)</f>
        <v>0</v>
      </c>
      <c r="K14" s="703"/>
      <c r="L14" s="703">
        <f t="shared" si="2"/>
        <v>0</v>
      </c>
      <c r="M14" s="703">
        <f t="shared" ref="M14" si="27">SUM(M11:M13)</f>
        <v>0</v>
      </c>
      <c r="N14" s="703">
        <f>SUM(N11:N13)</f>
        <v>0</v>
      </c>
      <c r="O14" s="703">
        <f t="shared" si="3"/>
        <v>0</v>
      </c>
      <c r="P14" s="703">
        <f t="shared" ref="P14:S14" si="28">SUM(P11:P13)</f>
        <v>245</v>
      </c>
      <c r="Q14" s="703">
        <f t="shared" si="28"/>
        <v>0</v>
      </c>
      <c r="R14" s="703">
        <f t="shared" si="28"/>
        <v>245</v>
      </c>
      <c r="S14" s="703">
        <f t="shared" si="28"/>
        <v>1004</v>
      </c>
      <c r="T14" s="703">
        <f t="shared" ref="T14:AC14" si="29">SUM(T11:T13)</f>
        <v>-500</v>
      </c>
      <c r="U14" s="703">
        <f t="shared" si="29"/>
        <v>504</v>
      </c>
      <c r="V14" s="703">
        <f t="shared" si="29"/>
        <v>0</v>
      </c>
      <c r="W14" s="703">
        <f t="shared" si="29"/>
        <v>0</v>
      </c>
      <c r="X14" s="703">
        <f t="shared" si="4"/>
        <v>0</v>
      </c>
      <c r="Y14" s="703">
        <f t="shared" si="29"/>
        <v>0</v>
      </c>
      <c r="Z14" s="703">
        <f t="shared" si="29"/>
        <v>0</v>
      </c>
      <c r="AA14" s="703">
        <f t="shared" si="5"/>
        <v>0</v>
      </c>
      <c r="AB14" s="703">
        <f t="shared" ref="AB14" si="30">SUM(AB11:AB13)</f>
        <v>400</v>
      </c>
      <c r="AC14" s="703">
        <f t="shared" si="29"/>
        <v>0</v>
      </c>
      <c r="AD14" s="703">
        <f t="shared" si="6"/>
        <v>400</v>
      </c>
      <c r="AE14" s="703">
        <f>SUM(AE11:AE13)</f>
        <v>0</v>
      </c>
      <c r="AF14" s="703">
        <f>SUM(AF11:AF13)</f>
        <v>0</v>
      </c>
      <c r="AG14" s="1042">
        <f t="shared" si="7"/>
        <v>0</v>
      </c>
    </row>
    <row r="15" spans="1:33" ht="12.95" customHeight="1" x14ac:dyDescent="0.25">
      <c r="A15" s="505" t="s">
        <v>49</v>
      </c>
      <c r="B15" s="1236" t="s">
        <v>48</v>
      </c>
      <c r="C15" s="1235"/>
      <c r="D15" s="965">
        <f t="shared" si="21"/>
        <v>3114</v>
      </c>
      <c r="E15" s="703">
        <f t="shared" si="22"/>
        <v>0</v>
      </c>
      <c r="F15" s="1042">
        <f t="shared" si="23"/>
        <v>3114</v>
      </c>
      <c r="G15" s="446">
        <v>3114</v>
      </c>
      <c r="H15" s="446"/>
      <c r="I15" s="703">
        <f t="shared" si="1"/>
        <v>3114</v>
      </c>
      <c r="J15" s="446"/>
      <c r="K15" s="446"/>
      <c r="L15" s="703">
        <f t="shared" si="2"/>
        <v>0</v>
      </c>
      <c r="M15" s="446"/>
      <c r="N15" s="446"/>
      <c r="O15" s="703">
        <f t="shared" si="3"/>
        <v>0</v>
      </c>
      <c r="P15" s="446"/>
      <c r="Q15" s="446"/>
      <c r="R15" s="446"/>
      <c r="S15" s="446"/>
      <c r="T15" s="446"/>
      <c r="U15" s="446"/>
      <c r="V15" s="446"/>
      <c r="W15" s="446"/>
      <c r="X15" s="703">
        <f t="shared" si="4"/>
        <v>0</v>
      </c>
      <c r="Y15" s="446"/>
      <c r="Z15" s="446"/>
      <c r="AA15" s="703">
        <f t="shared" si="5"/>
        <v>0</v>
      </c>
      <c r="AB15" s="446"/>
      <c r="AC15" s="446"/>
      <c r="AD15" s="703">
        <f t="shared" si="6"/>
        <v>0</v>
      </c>
      <c r="AE15" s="446"/>
      <c r="AF15" s="446"/>
      <c r="AG15" s="1042">
        <f t="shared" si="7"/>
        <v>0</v>
      </c>
    </row>
    <row r="16" spans="1:33" ht="12.95" customHeight="1" x14ac:dyDescent="0.25">
      <c r="A16" s="505" t="s">
        <v>51</v>
      </c>
      <c r="B16" s="1236" t="s">
        <v>50</v>
      </c>
      <c r="C16" s="1235"/>
      <c r="D16" s="965">
        <f t="shared" si="21"/>
        <v>0</v>
      </c>
      <c r="E16" s="703">
        <f t="shared" si="22"/>
        <v>0</v>
      </c>
      <c r="F16" s="1042">
        <f t="shared" si="23"/>
        <v>0</v>
      </c>
      <c r="G16" s="446"/>
      <c r="H16" s="446"/>
      <c r="I16" s="703">
        <f t="shared" si="1"/>
        <v>0</v>
      </c>
      <c r="J16" s="446"/>
      <c r="K16" s="446"/>
      <c r="L16" s="703">
        <f t="shared" si="2"/>
        <v>0</v>
      </c>
      <c r="M16" s="446"/>
      <c r="N16" s="446"/>
      <c r="O16" s="703">
        <f t="shared" si="3"/>
        <v>0</v>
      </c>
      <c r="P16" s="446"/>
      <c r="Q16" s="446"/>
      <c r="R16" s="446"/>
      <c r="S16" s="446"/>
      <c r="T16" s="446"/>
      <c r="U16" s="446"/>
      <c r="V16" s="446"/>
      <c r="W16" s="446"/>
      <c r="X16" s="703">
        <f t="shared" si="4"/>
        <v>0</v>
      </c>
      <c r="Y16" s="446"/>
      <c r="Z16" s="446"/>
      <c r="AA16" s="703">
        <f t="shared" si="5"/>
        <v>0</v>
      </c>
      <c r="AB16" s="446"/>
      <c r="AC16" s="446"/>
      <c r="AD16" s="703">
        <f t="shared" si="6"/>
        <v>0</v>
      </c>
      <c r="AE16" s="446"/>
      <c r="AF16" s="446"/>
      <c r="AG16" s="1042">
        <f t="shared" si="7"/>
        <v>0</v>
      </c>
    </row>
    <row r="17" spans="1:33" s="1151" customFormat="1" ht="12.95" customHeight="1" x14ac:dyDescent="0.2">
      <c r="A17" s="503" t="s">
        <v>52</v>
      </c>
      <c r="B17" s="1240" t="s">
        <v>169</v>
      </c>
      <c r="C17" s="1225"/>
      <c r="D17" s="965">
        <f t="shared" si="21"/>
        <v>3114</v>
      </c>
      <c r="E17" s="703">
        <f t="shared" si="22"/>
        <v>0</v>
      </c>
      <c r="F17" s="1042">
        <f t="shared" si="23"/>
        <v>3114</v>
      </c>
      <c r="G17" s="703">
        <f t="shared" ref="G17" si="31">+G15+G16</f>
        <v>3114</v>
      </c>
      <c r="H17" s="703">
        <f t="shared" ref="H17" si="32">+H15+H16</f>
        <v>0</v>
      </c>
      <c r="I17" s="703">
        <f t="shared" si="1"/>
        <v>3114</v>
      </c>
      <c r="J17" s="703">
        <f t="shared" ref="J17" si="33">+J15+J16</f>
        <v>0</v>
      </c>
      <c r="K17" s="703"/>
      <c r="L17" s="703">
        <f t="shared" si="2"/>
        <v>0</v>
      </c>
      <c r="M17" s="703">
        <f t="shared" ref="M17" si="34">+M15+M16</f>
        <v>0</v>
      </c>
      <c r="N17" s="703">
        <f>+N15+N16</f>
        <v>0</v>
      </c>
      <c r="O17" s="703">
        <f t="shared" si="3"/>
        <v>0</v>
      </c>
      <c r="P17" s="703">
        <f t="shared" ref="P17:S17" si="35">+P15+P16</f>
        <v>0</v>
      </c>
      <c r="Q17" s="703">
        <f t="shared" si="35"/>
        <v>0</v>
      </c>
      <c r="R17" s="703">
        <f t="shared" si="35"/>
        <v>0</v>
      </c>
      <c r="S17" s="703">
        <f t="shared" si="35"/>
        <v>0</v>
      </c>
      <c r="T17" s="703">
        <f t="shared" ref="T17:AC17" si="36">+T15+T16</f>
        <v>0</v>
      </c>
      <c r="U17" s="703">
        <f t="shared" si="36"/>
        <v>0</v>
      </c>
      <c r="V17" s="703">
        <f t="shared" si="36"/>
        <v>0</v>
      </c>
      <c r="W17" s="703">
        <f t="shared" si="36"/>
        <v>0</v>
      </c>
      <c r="X17" s="703">
        <f t="shared" si="4"/>
        <v>0</v>
      </c>
      <c r="Y17" s="703">
        <f t="shared" si="36"/>
        <v>0</v>
      </c>
      <c r="Z17" s="703">
        <f t="shared" si="36"/>
        <v>0</v>
      </c>
      <c r="AA17" s="703">
        <f t="shared" si="5"/>
        <v>0</v>
      </c>
      <c r="AB17" s="703">
        <f t="shared" ref="AB17" si="37">+AB15+AB16</f>
        <v>0</v>
      </c>
      <c r="AC17" s="703">
        <f t="shared" si="36"/>
        <v>0</v>
      </c>
      <c r="AD17" s="703">
        <f t="shared" si="6"/>
        <v>0</v>
      </c>
      <c r="AE17" s="703">
        <f>+AE15+AE16</f>
        <v>0</v>
      </c>
      <c r="AF17" s="703">
        <f>+AF15+AF16</f>
        <v>0</v>
      </c>
      <c r="AG17" s="1042">
        <f t="shared" si="7"/>
        <v>0</v>
      </c>
    </row>
    <row r="18" spans="1:33" ht="12.95" customHeight="1" x14ac:dyDescent="0.25">
      <c r="A18" s="505" t="s">
        <v>54</v>
      </c>
      <c r="B18" s="1236" t="s">
        <v>53</v>
      </c>
      <c r="C18" s="1235"/>
      <c r="D18" s="965">
        <f>+G18+M18+P18+S18+V18+AE18+J18+Y18+AB18</f>
        <v>0</v>
      </c>
      <c r="E18" s="703">
        <f t="shared" si="22"/>
        <v>2758</v>
      </c>
      <c r="F18" s="1042">
        <f t="shared" si="23"/>
        <v>2758</v>
      </c>
      <c r="G18" s="446"/>
      <c r="H18" s="446">
        <f>2573+185</f>
        <v>2758</v>
      </c>
      <c r="I18" s="703">
        <f t="shared" si="1"/>
        <v>2758</v>
      </c>
      <c r="J18" s="446"/>
      <c r="K18" s="446"/>
      <c r="L18" s="703">
        <f t="shared" si="2"/>
        <v>0</v>
      </c>
      <c r="M18" s="446"/>
      <c r="N18" s="446"/>
      <c r="O18" s="703">
        <f t="shared" si="3"/>
        <v>0</v>
      </c>
      <c r="P18" s="446"/>
      <c r="Q18" s="446"/>
      <c r="R18" s="446"/>
      <c r="S18" s="446"/>
      <c r="T18" s="446"/>
      <c r="U18" s="446"/>
      <c r="V18" s="446"/>
      <c r="W18" s="446"/>
      <c r="X18" s="703">
        <f t="shared" si="4"/>
        <v>0</v>
      </c>
      <c r="Y18" s="446"/>
      <c r="Z18" s="446"/>
      <c r="AA18" s="703">
        <f t="shared" si="5"/>
        <v>0</v>
      </c>
      <c r="AB18" s="446"/>
      <c r="AC18" s="446"/>
      <c r="AD18" s="703">
        <f t="shared" si="6"/>
        <v>0</v>
      </c>
      <c r="AE18" s="446"/>
      <c r="AF18" s="446"/>
      <c r="AG18" s="1042">
        <f t="shared" si="7"/>
        <v>0</v>
      </c>
    </row>
    <row r="19" spans="1:33" ht="12.95" customHeight="1" x14ac:dyDescent="0.25">
      <c r="A19" s="505" t="s">
        <v>56</v>
      </c>
      <c r="B19" s="1236" t="s">
        <v>55</v>
      </c>
      <c r="C19" s="1235"/>
      <c r="D19" s="965">
        <f>+G19+M19+P19+S19+V19+AE19+J19+Y19+AB19</f>
        <v>67453</v>
      </c>
      <c r="E19" s="703">
        <f>+H19+N19+Q19+T19+W19+AF19+K19+Z19+AC19</f>
        <v>695</v>
      </c>
      <c r="F19" s="1042">
        <f>+I19+O19+R19+U19+X19+AG19+L19+AA19+AD19</f>
        <v>68148</v>
      </c>
      <c r="G19" s="446"/>
      <c r="H19" s="446"/>
      <c r="I19" s="703">
        <f t="shared" si="1"/>
        <v>0</v>
      </c>
      <c r="J19" s="122">
        <v>49830</v>
      </c>
      <c r="K19" s="122"/>
      <c r="L19" s="703">
        <f t="shared" si="2"/>
        <v>49830</v>
      </c>
      <c r="M19" s="122">
        <f>18261+121-759</f>
        <v>17623</v>
      </c>
      <c r="N19" s="446"/>
      <c r="O19" s="703">
        <f t="shared" si="3"/>
        <v>17623</v>
      </c>
      <c r="P19" s="446"/>
      <c r="Q19" s="446"/>
      <c r="R19" s="446"/>
      <c r="S19" s="446"/>
      <c r="T19" s="446"/>
      <c r="U19" s="446"/>
      <c r="V19" s="446"/>
      <c r="W19" s="446"/>
      <c r="X19" s="703">
        <f t="shared" si="4"/>
        <v>0</v>
      </c>
      <c r="Y19" s="446"/>
      <c r="Z19" s="446"/>
      <c r="AA19" s="703">
        <f t="shared" si="5"/>
        <v>0</v>
      </c>
      <c r="AB19" s="446"/>
      <c r="AC19" s="446">
        <v>695</v>
      </c>
      <c r="AD19" s="703">
        <f t="shared" si="6"/>
        <v>695</v>
      </c>
      <c r="AE19" s="446"/>
      <c r="AF19" s="446"/>
      <c r="AG19" s="1042">
        <f t="shared" si="7"/>
        <v>0</v>
      </c>
    </row>
    <row r="20" spans="1:33" ht="12.95" customHeight="1" x14ac:dyDescent="0.25">
      <c r="A20" s="505" t="s">
        <v>57</v>
      </c>
      <c r="B20" s="1236" t="s">
        <v>167</v>
      </c>
      <c r="C20" s="1235"/>
      <c r="D20" s="965">
        <f t="shared" si="21"/>
        <v>175</v>
      </c>
      <c r="E20" s="703">
        <f t="shared" si="22"/>
        <v>100</v>
      </c>
      <c r="F20" s="1042">
        <f t="shared" si="23"/>
        <v>275</v>
      </c>
      <c r="G20" s="446">
        <v>175</v>
      </c>
      <c r="H20" s="446"/>
      <c r="I20" s="703">
        <f t="shared" si="1"/>
        <v>175</v>
      </c>
      <c r="J20" s="122"/>
      <c r="K20" s="122"/>
      <c r="L20" s="703">
        <f t="shared" si="2"/>
        <v>0</v>
      </c>
      <c r="M20" s="122"/>
      <c r="N20" s="446"/>
      <c r="O20" s="703">
        <f t="shared" si="3"/>
        <v>0</v>
      </c>
      <c r="P20" s="446"/>
      <c r="Q20" s="446">
        <v>100</v>
      </c>
      <c r="R20" s="446">
        <f t="shared" ref="R20:R23" si="38">+P20+Q20</f>
        <v>100</v>
      </c>
      <c r="S20" s="446"/>
      <c r="T20" s="446"/>
      <c r="U20" s="446"/>
      <c r="V20" s="446"/>
      <c r="W20" s="446"/>
      <c r="X20" s="703">
        <f t="shared" si="4"/>
        <v>0</v>
      </c>
      <c r="Y20" s="446"/>
      <c r="Z20" s="446"/>
      <c r="AA20" s="703">
        <f t="shared" si="5"/>
        <v>0</v>
      </c>
      <c r="AB20" s="446"/>
      <c r="AC20" s="446"/>
      <c r="AD20" s="703">
        <f t="shared" si="6"/>
        <v>0</v>
      </c>
      <c r="AE20" s="446"/>
      <c r="AF20" s="446"/>
      <c r="AG20" s="1042">
        <f t="shared" si="7"/>
        <v>0</v>
      </c>
    </row>
    <row r="21" spans="1:33" ht="12.95" customHeight="1" x14ac:dyDescent="0.25">
      <c r="A21" s="505" t="s">
        <v>59</v>
      </c>
      <c r="B21" s="1236" t="s">
        <v>58</v>
      </c>
      <c r="C21" s="1235"/>
      <c r="D21" s="965">
        <f t="shared" si="21"/>
        <v>753</v>
      </c>
      <c r="E21" s="703">
        <f t="shared" si="22"/>
        <v>1227</v>
      </c>
      <c r="F21" s="1042">
        <f t="shared" si="23"/>
        <v>1980</v>
      </c>
      <c r="G21" s="446">
        <v>753</v>
      </c>
      <c r="H21" s="446">
        <f>110+20+50+985+62</f>
        <v>1227</v>
      </c>
      <c r="I21" s="703">
        <f t="shared" si="1"/>
        <v>1980</v>
      </c>
      <c r="J21" s="122"/>
      <c r="K21" s="122"/>
      <c r="L21" s="703">
        <f t="shared" si="2"/>
        <v>0</v>
      </c>
      <c r="M21" s="122"/>
      <c r="N21" s="446"/>
      <c r="O21" s="703">
        <f t="shared" si="3"/>
        <v>0</v>
      </c>
      <c r="P21" s="446"/>
      <c r="Q21" s="446"/>
      <c r="R21" s="446">
        <f t="shared" si="38"/>
        <v>0</v>
      </c>
      <c r="S21" s="446"/>
      <c r="T21" s="446"/>
      <c r="U21" s="446"/>
      <c r="V21" s="446"/>
      <c r="W21" s="446"/>
      <c r="X21" s="703">
        <f t="shared" si="4"/>
        <v>0</v>
      </c>
      <c r="Y21" s="446"/>
      <c r="Z21" s="446"/>
      <c r="AA21" s="703">
        <f t="shared" si="5"/>
        <v>0</v>
      </c>
      <c r="AB21" s="446"/>
      <c r="AC21" s="446"/>
      <c r="AD21" s="703">
        <f t="shared" si="6"/>
        <v>0</v>
      </c>
      <c r="AE21" s="446"/>
      <c r="AF21" s="446"/>
      <c r="AG21" s="1042">
        <f t="shared" si="7"/>
        <v>0</v>
      </c>
    </row>
    <row r="22" spans="1:33" ht="12.95" customHeight="1" x14ac:dyDescent="0.25">
      <c r="A22" s="505" t="s">
        <v>60</v>
      </c>
      <c r="B22" s="1236" t="s">
        <v>166</v>
      </c>
      <c r="C22" s="1235"/>
      <c r="D22" s="965">
        <f t="shared" si="21"/>
        <v>600</v>
      </c>
      <c r="E22" s="703">
        <f t="shared" si="22"/>
        <v>300</v>
      </c>
      <c r="F22" s="1042">
        <f t="shared" si="23"/>
        <v>900</v>
      </c>
      <c r="G22" s="446">
        <v>600</v>
      </c>
      <c r="H22" s="446">
        <v>300</v>
      </c>
      <c r="I22" s="703">
        <f t="shared" si="1"/>
        <v>900</v>
      </c>
      <c r="J22" s="122"/>
      <c r="K22" s="122"/>
      <c r="L22" s="703">
        <f t="shared" si="2"/>
        <v>0</v>
      </c>
      <c r="M22" s="122"/>
      <c r="N22" s="446"/>
      <c r="O22" s="703">
        <f t="shared" si="3"/>
        <v>0</v>
      </c>
      <c r="P22" s="446"/>
      <c r="Q22" s="446"/>
      <c r="R22" s="446">
        <f t="shared" si="38"/>
        <v>0</v>
      </c>
      <c r="S22" s="446"/>
      <c r="T22" s="446"/>
      <c r="U22" s="446"/>
      <c r="V22" s="446"/>
      <c r="W22" s="446"/>
      <c r="X22" s="703">
        <f t="shared" si="4"/>
        <v>0</v>
      </c>
      <c r="Y22" s="446"/>
      <c r="Z22" s="446"/>
      <c r="AA22" s="703">
        <f t="shared" si="5"/>
        <v>0</v>
      </c>
      <c r="AB22" s="446"/>
      <c r="AC22" s="446"/>
      <c r="AD22" s="703">
        <f t="shared" si="6"/>
        <v>0</v>
      </c>
      <c r="AE22" s="446"/>
      <c r="AF22" s="446"/>
      <c r="AG22" s="1042">
        <f t="shared" si="7"/>
        <v>0</v>
      </c>
    </row>
    <row r="23" spans="1:33" ht="12.95" customHeight="1" x14ac:dyDescent="0.25">
      <c r="A23" s="505" t="s">
        <v>63</v>
      </c>
      <c r="B23" s="1236" t="s">
        <v>62</v>
      </c>
      <c r="C23" s="1235"/>
      <c r="D23" s="965">
        <f t="shared" si="21"/>
        <v>0</v>
      </c>
      <c r="E23" s="703">
        <f t="shared" si="22"/>
        <v>0</v>
      </c>
      <c r="F23" s="1042">
        <f t="shared" si="23"/>
        <v>0</v>
      </c>
      <c r="G23" s="446"/>
      <c r="H23" s="446"/>
      <c r="I23" s="703">
        <f t="shared" si="1"/>
        <v>0</v>
      </c>
      <c r="J23" s="122"/>
      <c r="K23" s="122"/>
      <c r="L23" s="703">
        <f t="shared" si="2"/>
        <v>0</v>
      </c>
      <c r="M23" s="122"/>
      <c r="N23" s="446"/>
      <c r="O23" s="703">
        <f t="shared" si="3"/>
        <v>0</v>
      </c>
      <c r="P23" s="446"/>
      <c r="Q23" s="446"/>
      <c r="R23" s="446">
        <f t="shared" si="38"/>
        <v>0</v>
      </c>
      <c r="S23" s="446"/>
      <c r="T23" s="446"/>
      <c r="U23" s="446"/>
      <c r="V23" s="446"/>
      <c r="W23" s="446"/>
      <c r="X23" s="703">
        <f t="shared" si="4"/>
        <v>0</v>
      </c>
      <c r="Y23" s="446"/>
      <c r="Z23" s="446"/>
      <c r="AA23" s="703">
        <f t="shared" si="5"/>
        <v>0</v>
      </c>
      <c r="AB23" s="446"/>
      <c r="AC23" s="446"/>
      <c r="AD23" s="703">
        <f t="shared" si="6"/>
        <v>0</v>
      </c>
      <c r="AE23" s="446"/>
      <c r="AF23" s="446"/>
      <c r="AG23" s="1042">
        <f t="shared" si="7"/>
        <v>0</v>
      </c>
    </row>
    <row r="24" spans="1:33" ht="12.95" customHeight="1" x14ac:dyDescent="0.25">
      <c r="A24" s="505" t="s">
        <v>65</v>
      </c>
      <c r="B24" s="1236" t="s">
        <v>64</v>
      </c>
      <c r="C24" s="1235"/>
      <c r="D24" s="965">
        <f t="shared" si="21"/>
        <v>23387</v>
      </c>
      <c r="E24" s="703">
        <f t="shared" si="22"/>
        <v>28942</v>
      </c>
      <c r="F24" s="1042">
        <f t="shared" si="23"/>
        <v>52329</v>
      </c>
      <c r="G24" s="446">
        <v>10119</v>
      </c>
      <c r="H24" s="446">
        <f>72+46+110+82+41+70+21+8+2960+90+50+2494-37</f>
        <v>6007</v>
      </c>
      <c r="I24" s="703">
        <f t="shared" si="1"/>
        <v>16126</v>
      </c>
      <c r="J24" s="122">
        <v>1166</v>
      </c>
      <c r="K24" s="122"/>
      <c r="L24" s="703">
        <f t="shared" si="2"/>
        <v>1166</v>
      </c>
      <c r="M24" s="122"/>
      <c r="N24" s="446"/>
      <c r="O24" s="703">
        <f t="shared" si="3"/>
        <v>0</v>
      </c>
      <c r="P24" s="446">
        <v>3004</v>
      </c>
      <c r="Q24" s="446">
        <v>36</v>
      </c>
      <c r="R24" s="446">
        <f>+P24+Q24</f>
        <v>3040</v>
      </c>
      <c r="S24" s="446"/>
      <c r="T24" s="446"/>
      <c r="U24" s="446"/>
      <c r="V24" s="446"/>
      <c r="W24" s="446"/>
      <c r="X24" s="703">
        <f t="shared" si="4"/>
        <v>0</v>
      </c>
      <c r="Y24" s="446">
        <v>7211</v>
      </c>
      <c r="Z24" s="446"/>
      <c r="AA24" s="703">
        <f t="shared" si="5"/>
        <v>7211</v>
      </c>
      <c r="AB24" s="446">
        <f>3235-1348</f>
        <v>1887</v>
      </c>
      <c r="AC24" s="446">
        <f>607+695</f>
        <v>1302</v>
      </c>
      <c r="AD24" s="703">
        <f t="shared" si="6"/>
        <v>3189</v>
      </c>
      <c r="AE24" s="446"/>
      <c r="AF24" s="446">
        <f>5000+4991+2000+9606</f>
        <v>21597</v>
      </c>
      <c r="AG24" s="1042">
        <f t="shared" si="7"/>
        <v>21597</v>
      </c>
    </row>
    <row r="25" spans="1:33" s="1151" customFormat="1" ht="12.95" customHeight="1" x14ac:dyDescent="0.2">
      <c r="A25" s="503" t="s">
        <v>66</v>
      </c>
      <c r="B25" s="1240" t="s">
        <v>156</v>
      </c>
      <c r="C25" s="1225"/>
      <c r="D25" s="965">
        <f t="shared" si="21"/>
        <v>92368</v>
      </c>
      <c r="E25" s="703">
        <f t="shared" si="22"/>
        <v>34022</v>
      </c>
      <c r="F25" s="1042">
        <f t="shared" si="23"/>
        <v>126390</v>
      </c>
      <c r="G25" s="703">
        <f>+G24+G23+G22+G21+G20+G19+G18</f>
        <v>11647</v>
      </c>
      <c r="H25" s="703">
        <f t="shared" ref="H25:AF25" si="39">+H24+H23+H22+H21+H20+H19+H18</f>
        <v>10292</v>
      </c>
      <c r="I25" s="703">
        <f t="shared" si="1"/>
        <v>21939</v>
      </c>
      <c r="J25" s="703">
        <f t="shared" ref="J25" si="40">+J24+J23+J22+J21+J20+J19+J18</f>
        <v>50996</v>
      </c>
      <c r="K25" s="134">
        <f t="shared" si="39"/>
        <v>0</v>
      </c>
      <c r="L25" s="703">
        <f t="shared" si="2"/>
        <v>50996</v>
      </c>
      <c r="M25" s="703">
        <f t="shared" ref="M25" si="41">+M24+M23+M22+M21+M20+M19+M18</f>
        <v>17623</v>
      </c>
      <c r="N25" s="703">
        <f t="shared" si="39"/>
        <v>0</v>
      </c>
      <c r="O25" s="703">
        <f t="shared" si="3"/>
        <v>17623</v>
      </c>
      <c r="P25" s="703">
        <f t="shared" si="39"/>
        <v>3004</v>
      </c>
      <c r="Q25" s="703">
        <f t="shared" si="39"/>
        <v>136</v>
      </c>
      <c r="R25" s="703">
        <f t="shared" si="39"/>
        <v>3140</v>
      </c>
      <c r="S25" s="703">
        <f t="shared" si="39"/>
        <v>0</v>
      </c>
      <c r="T25" s="703">
        <f t="shared" si="39"/>
        <v>0</v>
      </c>
      <c r="U25" s="703">
        <f t="shared" si="39"/>
        <v>0</v>
      </c>
      <c r="V25" s="703">
        <f t="shared" si="39"/>
        <v>0</v>
      </c>
      <c r="W25" s="703">
        <f t="shared" si="39"/>
        <v>0</v>
      </c>
      <c r="X25" s="703">
        <f t="shared" si="4"/>
        <v>0</v>
      </c>
      <c r="Y25" s="703">
        <f t="shared" ref="Y25" si="42">+Y24+Y23+Y22+Y21+Y20+Y19+Y18</f>
        <v>7211</v>
      </c>
      <c r="Z25" s="703">
        <f t="shared" si="39"/>
        <v>0</v>
      </c>
      <c r="AA25" s="703">
        <f t="shared" si="5"/>
        <v>7211</v>
      </c>
      <c r="AB25" s="703">
        <f t="shared" ref="AB25" si="43">+AB24+AB23+AB22+AB21+AB20+AB19+AB18</f>
        <v>1887</v>
      </c>
      <c r="AC25" s="703">
        <f t="shared" si="39"/>
        <v>1997</v>
      </c>
      <c r="AD25" s="703">
        <f t="shared" si="6"/>
        <v>3884</v>
      </c>
      <c r="AE25" s="703">
        <f t="shared" si="39"/>
        <v>0</v>
      </c>
      <c r="AF25" s="703">
        <f t="shared" si="39"/>
        <v>21597</v>
      </c>
      <c r="AG25" s="1042">
        <f t="shared" si="7"/>
        <v>21597</v>
      </c>
    </row>
    <row r="26" spans="1:33" ht="12.95" customHeight="1" x14ac:dyDescent="0.25">
      <c r="A26" s="505" t="s">
        <v>68</v>
      </c>
      <c r="B26" s="1236" t="s">
        <v>67</v>
      </c>
      <c r="C26" s="1235"/>
      <c r="D26" s="965">
        <f t="shared" si="21"/>
        <v>0</v>
      </c>
      <c r="E26" s="703">
        <f t="shared" si="22"/>
        <v>0</v>
      </c>
      <c r="F26" s="1042">
        <f t="shared" si="23"/>
        <v>0</v>
      </c>
      <c r="G26" s="446"/>
      <c r="H26" s="446"/>
      <c r="I26" s="703">
        <f t="shared" si="1"/>
        <v>0</v>
      </c>
      <c r="J26" s="122"/>
      <c r="K26" s="122"/>
      <c r="L26" s="703">
        <f t="shared" si="2"/>
        <v>0</v>
      </c>
      <c r="M26" s="122"/>
      <c r="N26" s="446"/>
      <c r="O26" s="703">
        <f t="shared" si="3"/>
        <v>0</v>
      </c>
      <c r="P26" s="446"/>
      <c r="Q26" s="446"/>
      <c r="R26" s="446"/>
      <c r="S26" s="446"/>
      <c r="T26" s="446"/>
      <c r="U26" s="446"/>
      <c r="V26" s="446"/>
      <c r="W26" s="446"/>
      <c r="X26" s="703">
        <f t="shared" si="4"/>
        <v>0</v>
      </c>
      <c r="Y26" s="446"/>
      <c r="Z26" s="446"/>
      <c r="AA26" s="703">
        <f t="shared" si="5"/>
        <v>0</v>
      </c>
      <c r="AB26" s="446"/>
      <c r="AC26" s="446"/>
      <c r="AD26" s="703">
        <f t="shared" si="6"/>
        <v>0</v>
      </c>
      <c r="AE26" s="446"/>
      <c r="AF26" s="446"/>
      <c r="AG26" s="1042">
        <f t="shared" si="7"/>
        <v>0</v>
      </c>
    </row>
    <row r="27" spans="1:33" ht="12.95" customHeight="1" x14ac:dyDescent="0.25">
      <c r="A27" s="505" t="s">
        <v>70</v>
      </c>
      <c r="B27" s="1236" t="s">
        <v>69</v>
      </c>
      <c r="C27" s="1235"/>
      <c r="D27" s="965">
        <f t="shared" si="21"/>
        <v>0</v>
      </c>
      <c r="E27" s="703">
        <f t="shared" si="22"/>
        <v>0</v>
      </c>
      <c r="F27" s="1042">
        <f t="shared" si="23"/>
        <v>0</v>
      </c>
      <c r="G27" s="446"/>
      <c r="H27" s="446"/>
      <c r="I27" s="703">
        <f t="shared" si="1"/>
        <v>0</v>
      </c>
      <c r="J27" s="122"/>
      <c r="K27" s="122"/>
      <c r="L27" s="703">
        <f t="shared" si="2"/>
        <v>0</v>
      </c>
      <c r="M27" s="122"/>
      <c r="N27" s="446"/>
      <c r="O27" s="703">
        <f t="shared" si="3"/>
        <v>0</v>
      </c>
      <c r="P27" s="446"/>
      <c r="Q27" s="446"/>
      <c r="R27" s="446"/>
      <c r="S27" s="446"/>
      <c r="T27" s="446"/>
      <c r="U27" s="446"/>
      <c r="V27" s="446"/>
      <c r="W27" s="446"/>
      <c r="X27" s="703">
        <f t="shared" si="4"/>
        <v>0</v>
      </c>
      <c r="Y27" s="446"/>
      <c r="Z27" s="446"/>
      <c r="AA27" s="703">
        <f t="shared" si="5"/>
        <v>0</v>
      </c>
      <c r="AB27" s="446"/>
      <c r="AC27" s="446"/>
      <c r="AD27" s="703">
        <f t="shared" si="6"/>
        <v>0</v>
      </c>
      <c r="AE27" s="446"/>
      <c r="AF27" s="446"/>
      <c r="AG27" s="1042">
        <f t="shared" si="7"/>
        <v>0</v>
      </c>
    </row>
    <row r="28" spans="1:33" s="1151" customFormat="1" ht="12.95" customHeight="1" x14ac:dyDescent="0.2">
      <c r="A28" s="503" t="s">
        <v>71</v>
      </c>
      <c r="B28" s="1240" t="s">
        <v>155</v>
      </c>
      <c r="C28" s="1225"/>
      <c r="D28" s="965">
        <f t="shared" si="21"/>
        <v>0</v>
      </c>
      <c r="E28" s="703">
        <f t="shared" si="22"/>
        <v>0</v>
      </c>
      <c r="F28" s="1042">
        <f t="shared" si="23"/>
        <v>0</v>
      </c>
      <c r="G28" s="703">
        <f t="shared" ref="G28" si="44">+G26+G27</f>
        <v>0</v>
      </c>
      <c r="H28" s="703">
        <f t="shared" ref="H28" si="45">+H26+H27</f>
        <v>0</v>
      </c>
      <c r="I28" s="703">
        <f>+H28+G28</f>
        <v>0</v>
      </c>
      <c r="J28" s="134">
        <f>SUM(J26:J27)</f>
        <v>0</v>
      </c>
      <c r="K28" s="134"/>
      <c r="L28" s="703">
        <f t="shared" si="2"/>
        <v>0</v>
      </c>
      <c r="M28" s="134">
        <f>+M26+M27</f>
        <v>0</v>
      </c>
      <c r="N28" s="703">
        <f>+N26+N27</f>
        <v>0</v>
      </c>
      <c r="O28" s="703">
        <f t="shared" si="3"/>
        <v>0</v>
      </c>
      <c r="P28" s="703">
        <f t="shared" ref="P28:AC28" si="46">+P26+P27</f>
        <v>0</v>
      </c>
      <c r="Q28" s="703">
        <f t="shared" si="46"/>
        <v>0</v>
      </c>
      <c r="R28" s="703">
        <f t="shared" si="46"/>
        <v>0</v>
      </c>
      <c r="S28" s="703">
        <f t="shared" si="46"/>
        <v>0</v>
      </c>
      <c r="T28" s="703">
        <f t="shared" si="46"/>
        <v>0</v>
      </c>
      <c r="U28" s="703">
        <f t="shared" si="46"/>
        <v>0</v>
      </c>
      <c r="V28" s="703">
        <f t="shared" si="46"/>
        <v>0</v>
      </c>
      <c r="W28" s="703">
        <f t="shared" si="46"/>
        <v>0</v>
      </c>
      <c r="X28" s="703">
        <f t="shared" si="4"/>
        <v>0</v>
      </c>
      <c r="Y28" s="703">
        <f t="shared" ref="Y28" si="47">+Y26+Y27</f>
        <v>0</v>
      </c>
      <c r="Z28" s="703">
        <f t="shared" si="46"/>
        <v>0</v>
      </c>
      <c r="AA28" s="703">
        <f t="shared" si="5"/>
        <v>0</v>
      </c>
      <c r="AB28" s="703">
        <f t="shared" ref="AB28" si="48">+AB26+AB27</f>
        <v>0</v>
      </c>
      <c r="AC28" s="703">
        <f t="shared" si="46"/>
        <v>0</v>
      </c>
      <c r="AD28" s="703">
        <f t="shared" si="6"/>
        <v>0</v>
      </c>
      <c r="AE28" s="703">
        <f>+AE26+AE27</f>
        <v>0</v>
      </c>
      <c r="AF28" s="703">
        <f>+AF26+AF27</f>
        <v>0</v>
      </c>
      <c r="AG28" s="1042">
        <f t="shared" si="7"/>
        <v>0</v>
      </c>
    </row>
    <row r="29" spans="1:33" ht="12.95" customHeight="1" x14ac:dyDescent="0.25">
      <c r="A29" s="505" t="s">
        <v>73</v>
      </c>
      <c r="B29" s="1236" t="s">
        <v>72</v>
      </c>
      <c r="C29" s="1235"/>
      <c r="D29" s="965">
        <f t="shared" si="21"/>
        <v>22421</v>
      </c>
      <c r="E29" s="703">
        <f t="shared" si="22"/>
        <v>5266</v>
      </c>
      <c r="F29" s="1042">
        <f t="shared" si="23"/>
        <v>27687</v>
      </c>
      <c r="G29" s="446">
        <v>2571</v>
      </c>
      <c r="H29" s="446">
        <f>695+19+30+50+6+5+2+799+24+13+81+266+17+673+14</f>
        <v>2694</v>
      </c>
      <c r="I29" s="703">
        <f t="shared" si="1"/>
        <v>5265</v>
      </c>
      <c r="J29" s="122">
        <f>14286-594</f>
        <v>13692</v>
      </c>
      <c r="K29" s="122"/>
      <c r="L29" s="703">
        <f t="shared" si="2"/>
        <v>13692</v>
      </c>
      <c r="M29" s="122">
        <f>4930+33-206</f>
        <v>4757</v>
      </c>
      <c r="N29" s="446"/>
      <c r="O29" s="703">
        <f t="shared" si="3"/>
        <v>4757</v>
      </c>
      <c r="P29" s="446">
        <v>66</v>
      </c>
      <c r="Q29" s="446"/>
      <c r="R29" s="446">
        <f>+P29+Q29</f>
        <v>66</v>
      </c>
      <c r="S29" s="446">
        <v>265</v>
      </c>
      <c r="T29" s="446">
        <v>-25</v>
      </c>
      <c r="U29" s="446">
        <f>+S29+T29</f>
        <v>240</v>
      </c>
      <c r="V29" s="446"/>
      <c r="W29" s="446"/>
      <c r="X29" s="703">
        <f t="shared" si="4"/>
        <v>0</v>
      </c>
      <c r="Y29" s="446">
        <v>479</v>
      </c>
      <c r="Z29" s="446"/>
      <c r="AA29" s="703">
        <f t="shared" si="5"/>
        <v>479</v>
      </c>
      <c r="AB29" s="446">
        <f>955-364</f>
        <v>591</v>
      </c>
      <c r="AC29" s="446">
        <v>3</v>
      </c>
      <c r="AD29" s="703">
        <f t="shared" si="6"/>
        <v>594</v>
      </c>
      <c r="AE29" s="446"/>
      <c r="AF29" s="446">
        <f>2594</f>
        <v>2594</v>
      </c>
      <c r="AG29" s="1042">
        <f t="shared" si="7"/>
        <v>2594</v>
      </c>
    </row>
    <row r="30" spans="1:33" ht="12.95" customHeight="1" x14ac:dyDescent="0.25">
      <c r="A30" s="505" t="s">
        <v>75</v>
      </c>
      <c r="B30" s="1236" t="s">
        <v>74</v>
      </c>
      <c r="C30" s="1235"/>
      <c r="D30" s="965">
        <f t="shared" si="21"/>
        <v>12168</v>
      </c>
      <c r="E30" s="703">
        <f t="shared" si="22"/>
        <v>0</v>
      </c>
      <c r="F30" s="1042">
        <f t="shared" si="23"/>
        <v>12168</v>
      </c>
      <c r="G30" s="446">
        <v>134</v>
      </c>
      <c r="H30" s="446"/>
      <c r="I30" s="703">
        <f t="shared" si="1"/>
        <v>134</v>
      </c>
      <c r="J30" s="122">
        <v>6091</v>
      </c>
      <c r="K30" s="122"/>
      <c r="L30" s="703">
        <f t="shared" si="2"/>
        <v>6091</v>
      </c>
      <c r="M30" s="122">
        <v>903</v>
      </c>
      <c r="N30" s="446"/>
      <c r="O30" s="703">
        <f t="shared" si="3"/>
        <v>903</v>
      </c>
      <c r="P30" s="446"/>
      <c r="Q30" s="446"/>
      <c r="R30" s="446"/>
      <c r="S30" s="446"/>
      <c r="T30" s="446"/>
      <c r="U30" s="446"/>
      <c r="V30" s="446"/>
      <c r="W30" s="446"/>
      <c r="X30" s="703">
        <f t="shared" si="4"/>
        <v>0</v>
      </c>
      <c r="Y30" s="446">
        <v>113</v>
      </c>
      <c r="Z30" s="446"/>
      <c r="AA30" s="703">
        <f t="shared" si="5"/>
        <v>113</v>
      </c>
      <c r="AB30" s="446"/>
      <c r="AC30" s="446"/>
      <c r="AD30" s="703">
        <f t="shared" si="6"/>
        <v>0</v>
      </c>
      <c r="AE30" s="446">
        <v>4927</v>
      </c>
      <c r="AF30" s="446"/>
      <c r="AG30" s="1042">
        <f t="shared" si="7"/>
        <v>4927</v>
      </c>
    </row>
    <row r="31" spans="1:33" ht="12.95" customHeight="1" x14ac:dyDescent="0.25">
      <c r="A31" s="505" t="s">
        <v>76</v>
      </c>
      <c r="B31" s="1236" t="s">
        <v>154</v>
      </c>
      <c r="C31" s="1235"/>
      <c r="D31" s="965">
        <f t="shared" si="21"/>
        <v>0</v>
      </c>
      <c r="E31" s="703">
        <f t="shared" si="22"/>
        <v>0</v>
      </c>
      <c r="F31" s="1042">
        <f t="shared" si="23"/>
        <v>0</v>
      </c>
      <c r="G31" s="446"/>
      <c r="H31" s="446"/>
      <c r="I31" s="703">
        <f t="shared" si="1"/>
        <v>0</v>
      </c>
      <c r="J31" s="122"/>
      <c r="K31" s="122"/>
      <c r="L31" s="703">
        <f t="shared" si="2"/>
        <v>0</v>
      </c>
      <c r="M31" s="122"/>
      <c r="N31" s="446"/>
      <c r="O31" s="703">
        <f t="shared" si="3"/>
        <v>0</v>
      </c>
      <c r="P31" s="446"/>
      <c r="Q31" s="446"/>
      <c r="R31" s="446"/>
      <c r="S31" s="446"/>
      <c r="T31" s="446"/>
      <c r="U31" s="446"/>
      <c r="V31" s="446"/>
      <c r="W31" s="446"/>
      <c r="X31" s="703">
        <f t="shared" si="4"/>
        <v>0</v>
      </c>
      <c r="Y31" s="446"/>
      <c r="Z31" s="446"/>
      <c r="AA31" s="703">
        <f t="shared" si="5"/>
        <v>0</v>
      </c>
      <c r="AB31" s="446"/>
      <c r="AC31" s="446"/>
      <c r="AD31" s="703">
        <f t="shared" si="6"/>
        <v>0</v>
      </c>
      <c r="AE31" s="446"/>
      <c r="AF31" s="446"/>
      <c r="AG31" s="1042">
        <f t="shared" si="7"/>
        <v>0</v>
      </c>
    </row>
    <row r="32" spans="1:33" ht="12.95" customHeight="1" x14ac:dyDescent="0.25">
      <c r="A32" s="505" t="s">
        <v>77</v>
      </c>
      <c r="B32" s="1236" t="s">
        <v>153</v>
      </c>
      <c r="C32" s="1235"/>
      <c r="D32" s="965">
        <f t="shared" si="21"/>
        <v>0</v>
      </c>
      <c r="E32" s="703">
        <f t="shared" si="22"/>
        <v>0</v>
      </c>
      <c r="F32" s="1042">
        <f t="shared" si="23"/>
        <v>0</v>
      </c>
      <c r="G32" s="446"/>
      <c r="H32" s="446"/>
      <c r="I32" s="703">
        <f t="shared" si="1"/>
        <v>0</v>
      </c>
      <c r="J32" s="446"/>
      <c r="K32" s="446"/>
      <c r="L32" s="703">
        <f t="shared" si="2"/>
        <v>0</v>
      </c>
      <c r="M32" s="446"/>
      <c r="N32" s="446"/>
      <c r="O32" s="703">
        <f t="shared" si="3"/>
        <v>0</v>
      </c>
      <c r="P32" s="446"/>
      <c r="Q32" s="446"/>
      <c r="R32" s="446"/>
      <c r="S32" s="446"/>
      <c r="T32" s="446"/>
      <c r="U32" s="446"/>
      <c r="V32" s="446"/>
      <c r="W32" s="446"/>
      <c r="X32" s="703">
        <f t="shared" si="4"/>
        <v>0</v>
      </c>
      <c r="Y32" s="446"/>
      <c r="Z32" s="446"/>
      <c r="AA32" s="703">
        <f t="shared" si="5"/>
        <v>0</v>
      </c>
      <c r="AB32" s="446"/>
      <c r="AC32" s="446"/>
      <c r="AD32" s="703">
        <f t="shared" si="6"/>
        <v>0</v>
      </c>
      <c r="AE32" s="446"/>
      <c r="AF32" s="446"/>
      <c r="AG32" s="1042">
        <f t="shared" si="7"/>
        <v>0</v>
      </c>
    </row>
    <row r="33" spans="1:33" ht="12.95" customHeight="1" x14ac:dyDescent="0.25">
      <c r="A33" s="505" t="s">
        <v>79</v>
      </c>
      <c r="B33" s="1236" t="s">
        <v>78</v>
      </c>
      <c r="C33" s="1235"/>
      <c r="D33" s="965">
        <f t="shared" si="21"/>
        <v>815</v>
      </c>
      <c r="E33" s="703">
        <f t="shared" si="22"/>
        <v>70</v>
      </c>
      <c r="F33" s="1042">
        <f t="shared" si="23"/>
        <v>885</v>
      </c>
      <c r="G33" s="446">
        <v>808</v>
      </c>
      <c r="H33" s="446">
        <f>56+14</f>
        <v>70</v>
      </c>
      <c r="I33" s="703">
        <f t="shared" si="1"/>
        <v>878</v>
      </c>
      <c r="J33" s="446"/>
      <c r="K33" s="446"/>
      <c r="L33" s="703">
        <f t="shared" si="2"/>
        <v>0</v>
      </c>
      <c r="M33" s="446"/>
      <c r="N33" s="446"/>
      <c r="O33" s="703">
        <f t="shared" si="3"/>
        <v>0</v>
      </c>
      <c r="P33" s="446"/>
      <c r="Q33" s="446"/>
      <c r="R33" s="446"/>
      <c r="S33" s="446"/>
      <c r="T33" s="446"/>
      <c r="U33" s="446"/>
      <c r="V33" s="446"/>
      <c r="W33" s="446"/>
      <c r="X33" s="703">
        <f t="shared" si="4"/>
        <v>0</v>
      </c>
      <c r="Y33" s="446"/>
      <c r="Z33" s="446"/>
      <c r="AA33" s="703">
        <f t="shared" si="5"/>
        <v>0</v>
      </c>
      <c r="AB33" s="446"/>
      <c r="AC33" s="446"/>
      <c r="AD33" s="703">
        <f t="shared" si="6"/>
        <v>0</v>
      </c>
      <c r="AE33" s="446">
        <v>7</v>
      </c>
      <c r="AF33" s="446"/>
      <c r="AG33" s="1042">
        <f t="shared" si="7"/>
        <v>7</v>
      </c>
    </row>
    <row r="34" spans="1:33" s="1151" customFormat="1" ht="12.95" customHeight="1" x14ac:dyDescent="0.2">
      <c r="A34" s="503" t="s">
        <v>80</v>
      </c>
      <c r="B34" s="1240" t="s">
        <v>152</v>
      </c>
      <c r="C34" s="1225"/>
      <c r="D34" s="965">
        <f t="shared" si="21"/>
        <v>35404</v>
      </c>
      <c r="E34" s="703">
        <f t="shared" si="22"/>
        <v>5336</v>
      </c>
      <c r="F34" s="1042">
        <f t="shared" si="23"/>
        <v>40740</v>
      </c>
      <c r="G34" s="703">
        <f>SUM(G29:G33)</f>
        <v>3513</v>
      </c>
      <c r="H34" s="703">
        <f t="shared" ref="H34:K34" si="49">SUM(H29:H33)</f>
        <v>2764</v>
      </c>
      <c r="I34" s="703">
        <f t="shared" si="1"/>
        <v>6277</v>
      </c>
      <c r="J34" s="703">
        <f t="shared" ref="J34" si="50">SUM(J29:J33)</f>
        <v>19783</v>
      </c>
      <c r="K34" s="703">
        <f t="shared" si="49"/>
        <v>0</v>
      </c>
      <c r="L34" s="703">
        <f t="shared" si="2"/>
        <v>19783</v>
      </c>
      <c r="M34" s="703">
        <f t="shared" ref="M34" si="51">SUM(M29:M33)</f>
        <v>5660</v>
      </c>
      <c r="N34" s="703">
        <f>SUM(N29:N33)</f>
        <v>0</v>
      </c>
      <c r="O34" s="703">
        <f t="shared" si="3"/>
        <v>5660</v>
      </c>
      <c r="P34" s="703">
        <f t="shared" ref="P34:Z34" si="52">SUM(P29:P33)</f>
        <v>66</v>
      </c>
      <c r="Q34" s="703">
        <f t="shared" si="52"/>
        <v>0</v>
      </c>
      <c r="R34" s="703">
        <f t="shared" si="52"/>
        <v>66</v>
      </c>
      <c r="S34" s="703">
        <f t="shared" ref="S34" si="53">SUM(S29:S33)</f>
        <v>265</v>
      </c>
      <c r="T34" s="703">
        <f t="shared" si="52"/>
        <v>-25</v>
      </c>
      <c r="U34" s="703">
        <f t="shared" si="52"/>
        <v>240</v>
      </c>
      <c r="V34" s="703">
        <f t="shared" si="52"/>
        <v>0</v>
      </c>
      <c r="W34" s="703">
        <f t="shared" si="52"/>
        <v>0</v>
      </c>
      <c r="X34" s="703">
        <f t="shared" si="4"/>
        <v>0</v>
      </c>
      <c r="Y34" s="703">
        <f t="shared" ref="Y34" si="54">SUM(Y29:Y33)</f>
        <v>592</v>
      </c>
      <c r="Z34" s="703">
        <f t="shared" si="52"/>
        <v>0</v>
      </c>
      <c r="AA34" s="703">
        <f t="shared" si="5"/>
        <v>592</v>
      </c>
      <c r="AB34" s="703">
        <f t="shared" ref="AB34" si="55">SUM(AB29:AB33)</f>
        <v>591</v>
      </c>
      <c r="AC34" s="703">
        <f t="shared" ref="AC34" si="56">SUM(AC29:AC33)</f>
        <v>3</v>
      </c>
      <c r="AD34" s="703">
        <f t="shared" si="6"/>
        <v>594</v>
      </c>
      <c r="AE34" s="703">
        <f>SUM(AE29:AE33)</f>
        <v>4934</v>
      </c>
      <c r="AF34" s="703">
        <f>SUM(AF29:AF33)</f>
        <v>2594</v>
      </c>
      <c r="AG34" s="1042">
        <f t="shared" si="7"/>
        <v>7528</v>
      </c>
    </row>
    <row r="35" spans="1:33" s="1151" customFormat="1" ht="12.95" customHeight="1" x14ac:dyDescent="0.2">
      <c r="A35" s="503" t="s">
        <v>81</v>
      </c>
      <c r="B35" s="1240" t="s">
        <v>151</v>
      </c>
      <c r="C35" s="1225"/>
      <c r="D35" s="965">
        <f t="shared" si="21"/>
        <v>132840</v>
      </c>
      <c r="E35" s="703">
        <f t="shared" si="22"/>
        <v>38858</v>
      </c>
      <c r="F35" s="1042">
        <f t="shared" si="23"/>
        <v>171698</v>
      </c>
      <c r="G35" s="703">
        <f>+G34+G28+G25+G17+G14</f>
        <v>18579</v>
      </c>
      <c r="H35" s="703">
        <f t="shared" ref="H35:AF35" si="57">+H34+H28+H25+H17+H14</f>
        <v>13056</v>
      </c>
      <c r="I35" s="703">
        <f t="shared" si="1"/>
        <v>31635</v>
      </c>
      <c r="J35" s="703">
        <f t="shared" ref="J35" si="58">+J34+J28+J25+J17+J14</f>
        <v>70779</v>
      </c>
      <c r="K35" s="703">
        <f t="shared" si="57"/>
        <v>0</v>
      </c>
      <c r="L35" s="703">
        <f t="shared" si="2"/>
        <v>70779</v>
      </c>
      <c r="M35" s="703">
        <f t="shared" ref="M35" si="59">+M34+M28+M25+M17+M14</f>
        <v>23283</v>
      </c>
      <c r="N35" s="703">
        <f t="shared" si="57"/>
        <v>0</v>
      </c>
      <c r="O35" s="703">
        <f t="shared" si="3"/>
        <v>23283</v>
      </c>
      <c r="P35" s="703">
        <f t="shared" si="57"/>
        <v>3315</v>
      </c>
      <c r="Q35" s="703">
        <f t="shared" si="57"/>
        <v>136</v>
      </c>
      <c r="R35" s="703">
        <f t="shared" si="57"/>
        <v>3451</v>
      </c>
      <c r="S35" s="703">
        <f t="shared" si="57"/>
        <v>1269</v>
      </c>
      <c r="T35" s="703">
        <f t="shared" si="57"/>
        <v>-525</v>
      </c>
      <c r="U35" s="703">
        <f t="shared" si="57"/>
        <v>744</v>
      </c>
      <c r="V35" s="703">
        <f t="shared" si="57"/>
        <v>0</v>
      </c>
      <c r="W35" s="703">
        <f t="shared" si="57"/>
        <v>0</v>
      </c>
      <c r="X35" s="703">
        <f t="shared" si="4"/>
        <v>0</v>
      </c>
      <c r="Y35" s="703">
        <f t="shared" ref="Y35" si="60">+Y34+Y28+Y25+Y17+Y14</f>
        <v>7803</v>
      </c>
      <c r="Z35" s="703">
        <f t="shared" si="57"/>
        <v>0</v>
      </c>
      <c r="AA35" s="703">
        <f t="shared" si="5"/>
        <v>7803</v>
      </c>
      <c r="AB35" s="703">
        <f t="shared" ref="AB35" si="61">+AB34+AB28+AB25+AB17+AB14</f>
        <v>2878</v>
      </c>
      <c r="AC35" s="703">
        <f t="shared" ref="AC35" si="62">+AC34+AC28+AC25+AC17+AC14</f>
        <v>2000</v>
      </c>
      <c r="AD35" s="703">
        <f t="shared" si="6"/>
        <v>4878</v>
      </c>
      <c r="AE35" s="703">
        <f t="shared" si="57"/>
        <v>4934</v>
      </c>
      <c r="AF35" s="703">
        <f t="shared" si="57"/>
        <v>24191</v>
      </c>
      <c r="AG35" s="1042">
        <f t="shared" si="7"/>
        <v>29125</v>
      </c>
    </row>
    <row r="36" spans="1:33" ht="8.25" customHeight="1" x14ac:dyDescent="0.25">
      <c r="A36" s="504"/>
      <c r="B36" s="1131"/>
      <c r="C36" s="1132"/>
      <c r="D36" s="804"/>
      <c r="E36" s="804"/>
      <c r="F36" s="1043"/>
      <c r="G36" s="600"/>
      <c r="H36" s="600"/>
      <c r="I36" s="804"/>
      <c r="J36" s="600"/>
      <c r="K36" s="600"/>
      <c r="L36" s="804"/>
      <c r="M36" s="600"/>
      <c r="N36" s="600"/>
      <c r="O36" s="804"/>
      <c r="P36" s="600"/>
      <c r="Q36" s="600"/>
      <c r="R36" s="600"/>
      <c r="S36" s="600"/>
      <c r="T36" s="600"/>
      <c r="U36" s="600"/>
      <c r="V36" s="600"/>
      <c r="W36" s="600"/>
      <c r="X36" s="804"/>
      <c r="Y36" s="600"/>
      <c r="Z36" s="600"/>
      <c r="AA36" s="804"/>
      <c r="AB36" s="600"/>
      <c r="AC36" s="600"/>
      <c r="AD36" s="804"/>
      <c r="AE36" s="600"/>
      <c r="AF36" s="600"/>
      <c r="AG36" s="1043"/>
    </row>
    <row r="37" spans="1:33" ht="12.95" hidden="1" customHeight="1" x14ac:dyDescent="0.25">
      <c r="A37" s="88" t="s">
        <v>83</v>
      </c>
      <c r="B37" s="1256" t="s">
        <v>82</v>
      </c>
      <c r="C37" s="1257"/>
      <c r="D37" s="804">
        <f t="shared" ref="D37:D72" si="63">+G37+M37+P37+S37+V37+AE37+J37+Y37+AB37</f>
        <v>0</v>
      </c>
      <c r="E37" s="804">
        <f t="shared" ref="E37:E72" si="64">+H37+N37+Q37+T37+W37+AF37+K37+Z37+AC37</f>
        <v>0</v>
      </c>
      <c r="F37" s="1043">
        <f t="shared" ref="F37:F72" si="65">+I37+O37+R37+U37+X37+AG37+L37+AA37+AD37</f>
        <v>0</v>
      </c>
      <c r="G37" s="600"/>
      <c r="H37" s="600"/>
      <c r="I37" s="804">
        <f t="shared" si="1"/>
        <v>0</v>
      </c>
      <c r="J37" s="600"/>
      <c r="K37" s="600"/>
      <c r="L37" s="804">
        <f t="shared" si="2"/>
        <v>0</v>
      </c>
      <c r="M37" s="600"/>
      <c r="N37" s="600"/>
      <c r="O37" s="804">
        <f t="shared" si="3"/>
        <v>0</v>
      </c>
      <c r="P37" s="600"/>
      <c r="Q37" s="600"/>
      <c r="R37" s="600"/>
      <c r="S37" s="600"/>
      <c r="T37" s="600"/>
      <c r="U37" s="600"/>
      <c r="V37" s="600"/>
      <c r="W37" s="600"/>
      <c r="X37" s="804">
        <f t="shared" si="4"/>
        <v>0</v>
      </c>
      <c r="Y37" s="600"/>
      <c r="Z37" s="600"/>
      <c r="AA37" s="804">
        <f t="shared" si="5"/>
        <v>0</v>
      </c>
      <c r="AB37" s="600"/>
      <c r="AC37" s="600"/>
      <c r="AD37" s="804">
        <f t="shared" si="6"/>
        <v>0</v>
      </c>
      <c r="AE37" s="600"/>
      <c r="AF37" s="600"/>
      <c r="AG37" s="1043">
        <f t="shared" si="7"/>
        <v>0</v>
      </c>
    </row>
    <row r="38" spans="1:33" ht="12.95" hidden="1" customHeight="1" x14ac:dyDescent="0.25">
      <c r="A38" s="740" t="s">
        <v>84</v>
      </c>
      <c r="B38" s="1256" t="s">
        <v>136</v>
      </c>
      <c r="C38" s="1257"/>
      <c r="D38" s="804">
        <f t="shared" si="63"/>
        <v>0</v>
      </c>
      <c r="E38" s="804">
        <f t="shared" si="64"/>
        <v>0</v>
      </c>
      <c r="F38" s="1043">
        <f t="shared" si="65"/>
        <v>0</v>
      </c>
      <c r="G38" s="600"/>
      <c r="H38" s="600"/>
      <c r="I38" s="804">
        <f t="shared" si="1"/>
        <v>0</v>
      </c>
      <c r="J38" s="600"/>
      <c r="K38" s="600"/>
      <c r="L38" s="804">
        <f t="shared" si="2"/>
        <v>0</v>
      </c>
      <c r="M38" s="600"/>
      <c r="N38" s="600"/>
      <c r="O38" s="804">
        <f t="shared" si="3"/>
        <v>0</v>
      </c>
      <c r="P38" s="600"/>
      <c r="Q38" s="600"/>
      <c r="R38" s="600"/>
      <c r="S38" s="600"/>
      <c r="T38" s="600"/>
      <c r="U38" s="600"/>
      <c r="V38" s="600"/>
      <c r="W38" s="600"/>
      <c r="X38" s="804">
        <f t="shared" si="4"/>
        <v>0</v>
      </c>
      <c r="Y38" s="600"/>
      <c r="Z38" s="600"/>
      <c r="AA38" s="804">
        <f t="shared" si="5"/>
        <v>0</v>
      </c>
      <c r="AB38" s="600"/>
      <c r="AC38" s="600"/>
      <c r="AD38" s="804">
        <f t="shared" si="6"/>
        <v>0</v>
      </c>
      <c r="AE38" s="600"/>
      <c r="AF38" s="600"/>
      <c r="AG38" s="1043">
        <f t="shared" si="7"/>
        <v>0</v>
      </c>
    </row>
    <row r="39" spans="1:33" s="1172" customFormat="1" ht="12.95" hidden="1" customHeight="1" x14ac:dyDescent="0.2">
      <c r="A39" s="741" t="s">
        <v>84</v>
      </c>
      <c r="B39" s="1171"/>
      <c r="C39" s="748" t="s">
        <v>138</v>
      </c>
      <c r="D39" s="804">
        <f t="shared" si="63"/>
        <v>0</v>
      </c>
      <c r="E39" s="804">
        <f t="shared" si="64"/>
        <v>0</v>
      </c>
      <c r="F39" s="1043">
        <f t="shared" si="65"/>
        <v>0</v>
      </c>
      <c r="G39" s="805"/>
      <c r="H39" s="805"/>
      <c r="I39" s="804">
        <f t="shared" si="1"/>
        <v>0</v>
      </c>
      <c r="J39" s="805"/>
      <c r="K39" s="805"/>
      <c r="L39" s="804">
        <f t="shared" si="2"/>
        <v>0</v>
      </c>
      <c r="M39" s="805"/>
      <c r="N39" s="805"/>
      <c r="O39" s="804">
        <f t="shared" si="3"/>
        <v>0</v>
      </c>
      <c r="P39" s="805"/>
      <c r="Q39" s="805"/>
      <c r="R39" s="805"/>
      <c r="S39" s="805"/>
      <c r="T39" s="805"/>
      <c r="U39" s="805"/>
      <c r="V39" s="805"/>
      <c r="W39" s="805"/>
      <c r="X39" s="804">
        <f t="shared" si="4"/>
        <v>0</v>
      </c>
      <c r="Y39" s="805"/>
      <c r="Z39" s="805"/>
      <c r="AA39" s="804">
        <f t="shared" si="5"/>
        <v>0</v>
      </c>
      <c r="AB39" s="805"/>
      <c r="AC39" s="805"/>
      <c r="AD39" s="804">
        <f t="shared" si="6"/>
        <v>0</v>
      </c>
      <c r="AE39" s="805"/>
      <c r="AF39" s="805"/>
      <c r="AG39" s="1043">
        <f t="shared" si="7"/>
        <v>0</v>
      </c>
    </row>
    <row r="40" spans="1:33" ht="12.95" hidden="1" customHeight="1" x14ac:dyDescent="0.25">
      <c r="A40" s="88" t="s">
        <v>86</v>
      </c>
      <c r="B40" s="1256" t="s">
        <v>85</v>
      </c>
      <c r="C40" s="1257"/>
      <c r="D40" s="804">
        <f t="shared" si="63"/>
        <v>0</v>
      </c>
      <c r="E40" s="804">
        <f t="shared" si="64"/>
        <v>0</v>
      </c>
      <c r="F40" s="1043">
        <f t="shared" si="65"/>
        <v>0</v>
      </c>
      <c r="G40" s="600"/>
      <c r="H40" s="600"/>
      <c r="I40" s="804">
        <f t="shared" si="1"/>
        <v>0</v>
      </c>
      <c r="J40" s="600"/>
      <c r="K40" s="600"/>
      <c r="L40" s="804">
        <f t="shared" si="2"/>
        <v>0</v>
      </c>
      <c r="M40" s="600"/>
      <c r="N40" s="600"/>
      <c r="O40" s="804">
        <f t="shared" si="3"/>
        <v>0</v>
      </c>
      <c r="P40" s="600"/>
      <c r="Q40" s="600"/>
      <c r="R40" s="600"/>
      <c r="S40" s="600"/>
      <c r="T40" s="600"/>
      <c r="U40" s="600"/>
      <c r="V40" s="600"/>
      <c r="W40" s="600"/>
      <c r="X40" s="804">
        <f t="shared" si="4"/>
        <v>0</v>
      </c>
      <c r="Y40" s="600"/>
      <c r="Z40" s="600"/>
      <c r="AA40" s="804">
        <f t="shared" si="5"/>
        <v>0</v>
      </c>
      <c r="AB40" s="600"/>
      <c r="AC40" s="600"/>
      <c r="AD40" s="804">
        <f t="shared" si="6"/>
        <v>0</v>
      </c>
      <c r="AE40" s="600"/>
      <c r="AF40" s="600"/>
      <c r="AG40" s="1043">
        <f t="shared" si="7"/>
        <v>0</v>
      </c>
    </row>
    <row r="41" spans="1:33" ht="12.95" hidden="1" customHeight="1" x14ac:dyDescent="0.25">
      <c r="A41" s="740" t="s">
        <v>87</v>
      </c>
      <c r="B41" s="1256" t="s">
        <v>139</v>
      </c>
      <c r="C41" s="1257"/>
      <c r="D41" s="804">
        <f t="shared" si="63"/>
        <v>0</v>
      </c>
      <c r="E41" s="804">
        <f t="shared" si="64"/>
        <v>0</v>
      </c>
      <c r="F41" s="1043">
        <f t="shared" si="65"/>
        <v>0</v>
      </c>
      <c r="G41" s="600"/>
      <c r="H41" s="600"/>
      <c r="I41" s="804">
        <f t="shared" si="1"/>
        <v>0</v>
      </c>
      <c r="J41" s="600"/>
      <c r="K41" s="600"/>
      <c r="L41" s="804">
        <f t="shared" si="2"/>
        <v>0</v>
      </c>
      <c r="M41" s="600"/>
      <c r="N41" s="600"/>
      <c r="O41" s="804">
        <f t="shared" si="3"/>
        <v>0</v>
      </c>
      <c r="P41" s="600"/>
      <c r="Q41" s="600"/>
      <c r="R41" s="600"/>
      <c r="S41" s="600"/>
      <c r="T41" s="600"/>
      <c r="U41" s="600"/>
      <c r="V41" s="600"/>
      <c r="W41" s="600"/>
      <c r="X41" s="804">
        <f t="shared" si="4"/>
        <v>0</v>
      </c>
      <c r="Y41" s="600"/>
      <c r="Z41" s="600"/>
      <c r="AA41" s="804">
        <f t="shared" si="5"/>
        <v>0</v>
      </c>
      <c r="AB41" s="600"/>
      <c r="AC41" s="600"/>
      <c r="AD41" s="804">
        <f t="shared" si="6"/>
        <v>0</v>
      </c>
      <c r="AE41" s="600"/>
      <c r="AF41" s="600"/>
      <c r="AG41" s="1043">
        <f t="shared" si="7"/>
        <v>0</v>
      </c>
    </row>
    <row r="42" spans="1:33" s="1172" customFormat="1" ht="12.95" hidden="1" customHeight="1" x14ac:dyDescent="0.2">
      <c r="A42" s="741" t="s">
        <v>87</v>
      </c>
      <c r="B42" s="1171"/>
      <c r="C42" s="749" t="s">
        <v>88</v>
      </c>
      <c r="D42" s="804">
        <f t="shared" si="63"/>
        <v>0</v>
      </c>
      <c r="E42" s="804">
        <f t="shared" si="64"/>
        <v>0</v>
      </c>
      <c r="F42" s="1043">
        <f t="shared" si="65"/>
        <v>0</v>
      </c>
      <c r="G42" s="805"/>
      <c r="H42" s="805"/>
      <c r="I42" s="804">
        <f t="shared" si="1"/>
        <v>0</v>
      </c>
      <c r="J42" s="805"/>
      <c r="K42" s="805"/>
      <c r="L42" s="804">
        <f t="shared" si="2"/>
        <v>0</v>
      </c>
      <c r="M42" s="805"/>
      <c r="N42" s="805"/>
      <c r="O42" s="804">
        <f t="shared" si="3"/>
        <v>0</v>
      </c>
      <c r="P42" s="805"/>
      <c r="Q42" s="805"/>
      <c r="R42" s="805"/>
      <c r="S42" s="805"/>
      <c r="T42" s="805"/>
      <c r="U42" s="805"/>
      <c r="V42" s="805"/>
      <c r="W42" s="805"/>
      <c r="X42" s="804">
        <f t="shared" si="4"/>
        <v>0</v>
      </c>
      <c r="Y42" s="805"/>
      <c r="Z42" s="805"/>
      <c r="AA42" s="804">
        <f t="shared" si="5"/>
        <v>0</v>
      </c>
      <c r="AB42" s="805"/>
      <c r="AC42" s="805"/>
      <c r="AD42" s="804">
        <f t="shared" si="6"/>
        <v>0</v>
      </c>
      <c r="AE42" s="805"/>
      <c r="AF42" s="805"/>
      <c r="AG42" s="1043">
        <f t="shared" si="7"/>
        <v>0</v>
      </c>
    </row>
    <row r="43" spans="1:33" s="1172" customFormat="1" ht="12.95" hidden="1" customHeight="1" x14ac:dyDescent="0.2">
      <c r="A43" s="741" t="s">
        <v>87</v>
      </c>
      <c r="B43" s="1171"/>
      <c r="C43" s="748" t="s">
        <v>140</v>
      </c>
      <c r="D43" s="804">
        <f t="shared" si="63"/>
        <v>0</v>
      </c>
      <c r="E43" s="804">
        <f t="shared" si="64"/>
        <v>0</v>
      </c>
      <c r="F43" s="1043">
        <f t="shared" si="65"/>
        <v>0</v>
      </c>
      <c r="G43" s="805"/>
      <c r="H43" s="805"/>
      <c r="I43" s="804">
        <f t="shared" si="1"/>
        <v>0</v>
      </c>
      <c r="J43" s="805"/>
      <c r="K43" s="805"/>
      <c r="L43" s="804">
        <f t="shared" si="2"/>
        <v>0</v>
      </c>
      <c r="M43" s="805"/>
      <c r="N43" s="805"/>
      <c r="O43" s="804">
        <f t="shared" si="3"/>
        <v>0</v>
      </c>
      <c r="P43" s="805"/>
      <c r="Q43" s="805"/>
      <c r="R43" s="805"/>
      <c r="S43" s="805"/>
      <c r="T43" s="805"/>
      <c r="U43" s="805"/>
      <c r="V43" s="805"/>
      <c r="W43" s="805"/>
      <c r="X43" s="804">
        <f t="shared" si="4"/>
        <v>0</v>
      </c>
      <c r="Y43" s="805"/>
      <c r="Z43" s="805"/>
      <c r="AA43" s="804">
        <f t="shared" si="5"/>
        <v>0</v>
      </c>
      <c r="AB43" s="805"/>
      <c r="AC43" s="805"/>
      <c r="AD43" s="804">
        <f t="shared" si="6"/>
        <v>0</v>
      </c>
      <c r="AE43" s="805"/>
      <c r="AF43" s="805"/>
      <c r="AG43" s="1043">
        <f t="shared" si="7"/>
        <v>0</v>
      </c>
    </row>
    <row r="44" spans="1:33" ht="12.95" hidden="1" customHeight="1" x14ac:dyDescent="0.25">
      <c r="A44" s="740" t="s">
        <v>89</v>
      </c>
      <c r="B44" s="1277" t="s">
        <v>141</v>
      </c>
      <c r="C44" s="1229"/>
      <c r="D44" s="804">
        <f t="shared" si="63"/>
        <v>0</v>
      </c>
      <c r="E44" s="804">
        <f t="shared" si="64"/>
        <v>0</v>
      </c>
      <c r="F44" s="1043">
        <f t="shared" si="65"/>
        <v>0</v>
      </c>
      <c r="G44" s="600"/>
      <c r="H44" s="600"/>
      <c r="I44" s="804">
        <f t="shared" si="1"/>
        <v>0</v>
      </c>
      <c r="J44" s="600"/>
      <c r="K44" s="600"/>
      <c r="L44" s="804">
        <f t="shared" si="2"/>
        <v>0</v>
      </c>
      <c r="M44" s="600"/>
      <c r="N44" s="600"/>
      <c r="O44" s="804">
        <f t="shared" si="3"/>
        <v>0</v>
      </c>
      <c r="P44" s="600"/>
      <c r="Q44" s="600"/>
      <c r="R44" s="600"/>
      <c r="S44" s="600"/>
      <c r="T44" s="600"/>
      <c r="U44" s="600"/>
      <c r="V44" s="600"/>
      <c r="W44" s="600"/>
      <c r="X44" s="804">
        <f t="shared" si="4"/>
        <v>0</v>
      </c>
      <c r="Y44" s="600"/>
      <c r="Z44" s="600"/>
      <c r="AA44" s="804">
        <f t="shared" si="5"/>
        <v>0</v>
      </c>
      <c r="AB44" s="600"/>
      <c r="AC44" s="600"/>
      <c r="AD44" s="804">
        <f t="shared" si="6"/>
        <v>0</v>
      </c>
      <c r="AE44" s="600"/>
      <c r="AF44" s="600"/>
      <c r="AG44" s="1043">
        <f t="shared" si="7"/>
        <v>0</v>
      </c>
    </row>
    <row r="45" spans="1:33" s="1172" customFormat="1" ht="12.95" hidden="1" customHeight="1" x14ac:dyDescent="0.2">
      <c r="A45" s="741" t="s">
        <v>89</v>
      </c>
      <c r="B45" s="1171"/>
      <c r="C45" s="748" t="s">
        <v>142</v>
      </c>
      <c r="D45" s="804">
        <f t="shared" si="63"/>
        <v>0</v>
      </c>
      <c r="E45" s="804">
        <f t="shared" si="64"/>
        <v>0</v>
      </c>
      <c r="F45" s="1043">
        <f t="shared" si="65"/>
        <v>0</v>
      </c>
      <c r="G45" s="805"/>
      <c r="H45" s="805"/>
      <c r="I45" s="804">
        <f t="shared" si="1"/>
        <v>0</v>
      </c>
      <c r="J45" s="805"/>
      <c r="K45" s="805"/>
      <c r="L45" s="804">
        <f t="shared" si="2"/>
        <v>0</v>
      </c>
      <c r="M45" s="805"/>
      <c r="N45" s="805"/>
      <c r="O45" s="804">
        <f t="shared" si="3"/>
        <v>0</v>
      </c>
      <c r="P45" s="805"/>
      <c r="Q45" s="805"/>
      <c r="R45" s="805"/>
      <c r="S45" s="805"/>
      <c r="T45" s="805"/>
      <c r="U45" s="805"/>
      <c r="V45" s="805"/>
      <c r="W45" s="805"/>
      <c r="X45" s="804">
        <f t="shared" si="4"/>
        <v>0</v>
      </c>
      <c r="Y45" s="805"/>
      <c r="Z45" s="805"/>
      <c r="AA45" s="804">
        <f t="shared" si="5"/>
        <v>0</v>
      </c>
      <c r="AB45" s="805"/>
      <c r="AC45" s="805"/>
      <c r="AD45" s="804">
        <f t="shared" si="6"/>
        <v>0</v>
      </c>
      <c r="AE45" s="805"/>
      <c r="AF45" s="805"/>
      <c r="AG45" s="1043">
        <f t="shared" si="7"/>
        <v>0</v>
      </c>
    </row>
    <row r="46" spans="1:33" ht="12.95" hidden="1" customHeight="1" x14ac:dyDescent="0.25">
      <c r="A46" s="740" t="s">
        <v>90</v>
      </c>
      <c r="B46" s="1277" t="s">
        <v>143</v>
      </c>
      <c r="C46" s="1229"/>
      <c r="D46" s="804">
        <f t="shared" si="63"/>
        <v>0</v>
      </c>
      <c r="E46" s="804">
        <f t="shared" si="64"/>
        <v>0</v>
      </c>
      <c r="F46" s="1043">
        <f t="shared" si="65"/>
        <v>0</v>
      </c>
      <c r="G46" s="600"/>
      <c r="H46" s="600"/>
      <c r="I46" s="804">
        <f t="shared" si="1"/>
        <v>0</v>
      </c>
      <c r="J46" s="600"/>
      <c r="K46" s="600"/>
      <c r="L46" s="804">
        <f t="shared" si="2"/>
        <v>0</v>
      </c>
      <c r="M46" s="600"/>
      <c r="N46" s="600"/>
      <c r="O46" s="804">
        <f t="shared" si="3"/>
        <v>0</v>
      </c>
      <c r="P46" s="600"/>
      <c r="Q46" s="600"/>
      <c r="R46" s="600"/>
      <c r="S46" s="600"/>
      <c r="T46" s="600"/>
      <c r="U46" s="600"/>
      <c r="V46" s="600"/>
      <c r="W46" s="600"/>
      <c r="X46" s="804">
        <f t="shared" si="4"/>
        <v>0</v>
      </c>
      <c r="Y46" s="600"/>
      <c r="Z46" s="600"/>
      <c r="AA46" s="804">
        <f t="shared" si="5"/>
        <v>0</v>
      </c>
      <c r="AB46" s="600"/>
      <c r="AC46" s="600"/>
      <c r="AD46" s="804">
        <f t="shared" si="6"/>
        <v>0</v>
      </c>
      <c r="AE46" s="600"/>
      <c r="AF46" s="600"/>
      <c r="AG46" s="1043">
        <f t="shared" si="7"/>
        <v>0</v>
      </c>
    </row>
    <row r="47" spans="1:33" s="1172" customFormat="1" ht="12.95" hidden="1" customHeight="1" x14ac:dyDescent="0.2">
      <c r="A47" s="741" t="s">
        <v>90</v>
      </c>
      <c r="B47" s="1171"/>
      <c r="C47" s="748" t="s">
        <v>144</v>
      </c>
      <c r="D47" s="804">
        <f t="shared" si="63"/>
        <v>0</v>
      </c>
      <c r="E47" s="804">
        <f t="shared" si="64"/>
        <v>0</v>
      </c>
      <c r="F47" s="1043">
        <f t="shared" si="65"/>
        <v>0</v>
      </c>
      <c r="G47" s="805"/>
      <c r="H47" s="805"/>
      <c r="I47" s="804">
        <f t="shared" si="1"/>
        <v>0</v>
      </c>
      <c r="J47" s="805"/>
      <c r="K47" s="805"/>
      <c r="L47" s="804">
        <f t="shared" si="2"/>
        <v>0</v>
      </c>
      <c r="M47" s="805"/>
      <c r="N47" s="805"/>
      <c r="O47" s="804">
        <f t="shared" si="3"/>
        <v>0</v>
      </c>
      <c r="P47" s="805"/>
      <c r="Q47" s="805"/>
      <c r="R47" s="805"/>
      <c r="S47" s="805"/>
      <c r="T47" s="805"/>
      <c r="U47" s="805"/>
      <c r="V47" s="805"/>
      <c r="W47" s="805"/>
      <c r="X47" s="804">
        <f t="shared" si="4"/>
        <v>0</v>
      </c>
      <c r="Y47" s="805"/>
      <c r="Z47" s="805"/>
      <c r="AA47" s="804">
        <f t="shared" si="5"/>
        <v>0</v>
      </c>
      <c r="AB47" s="805"/>
      <c r="AC47" s="805"/>
      <c r="AD47" s="804">
        <f t="shared" si="6"/>
        <v>0</v>
      </c>
      <c r="AE47" s="805"/>
      <c r="AF47" s="805"/>
      <c r="AG47" s="1043">
        <f t="shared" si="7"/>
        <v>0</v>
      </c>
    </row>
    <row r="48" spans="1:33" ht="12.95" hidden="1" customHeight="1" x14ac:dyDescent="0.25">
      <c r="A48" s="88" t="s">
        <v>91</v>
      </c>
      <c r="B48" s="1277" t="s">
        <v>145</v>
      </c>
      <c r="C48" s="1229"/>
      <c r="D48" s="804">
        <f t="shared" si="63"/>
        <v>0</v>
      </c>
      <c r="E48" s="804">
        <f t="shared" si="64"/>
        <v>0</v>
      </c>
      <c r="F48" s="1043">
        <f t="shared" si="65"/>
        <v>0</v>
      </c>
      <c r="G48" s="600"/>
      <c r="H48" s="600"/>
      <c r="I48" s="804">
        <f t="shared" si="1"/>
        <v>0</v>
      </c>
      <c r="J48" s="600"/>
      <c r="K48" s="600"/>
      <c r="L48" s="804">
        <f t="shared" si="2"/>
        <v>0</v>
      </c>
      <c r="M48" s="600"/>
      <c r="N48" s="600"/>
      <c r="O48" s="804">
        <f t="shared" si="3"/>
        <v>0</v>
      </c>
      <c r="P48" s="600"/>
      <c r="Q48" s="600"/>
      <c r="R48" s="600"/>
      <c r="S48" s="600"/>
      <c r="T48" s="600"/>
      <c r="U48" s="600"/>
      <c r="V48" s="600"/>
      <c r="W48" s="600"/>
      <c r="X48" s="804">
        <f t="shared" si="4"/>
        <v>0</v>
      </c>
      <c r="Y48" s="600"/>
      <c r="Z48" s="600"/>
      <c r="AA48" s="804">
        <f t="shared" si="5"/>
        <v>0</v>
      </c>
      <c r="AB48" s="600"/>
      <c r="AC48" s="600"/>
      <c r="AD48" s="804">
        <f t="shared" si="6"/>
        <v>0</v>
      </c>
      <c r="AE48" s="600"/>
      <c r="AF48" s="600"/>
      <c r="AG48" s="1043">
        <f t="shared" si="7"/>
        <v>0</v>
      </c>
    </row>
    <row r="49" spans="1:33" s="1172" customFormat="1" ht="12.95" hidden="1" customHeight="1" x14ac:dyDescent="0.2">
      <c r="A49" s="741" t="s">
        <v>91</v>
      </c>
      <c r="B49" s="1171"/>
      <c r="C49" s="748" t="s">
        <v>92</v>
      </c>
      <c r="D49" s="804">
        <f t="shared" si="63"/>
        <v>0</v>
      </c>
      <c r="E49" s="804">
        <f t="shared" si="64"/>
        <v>0</v>
      </c>
      <c r="F49" s="1043">
        <f t="shared" si="65"/>
        <v>0</v>
      </c>
      <c r="G49" s="805"/>
      <c r="H49" s="805"/>
      <c r="I49" s="804">
        <f t="shared" si="1"/>
        <v>0</v>
      </c>
      <c r="J49" s="805"/>
      <c r="K49" s="805"/>
      <c r="L49" s="804">
        <f t="shared" si="2"/>
        <v>0</v>
      </c>
      <c r="M49" s="805"/>
      <c r="N49" s="805"/>
      <c r="O49" s="804">
        <f t="shared" si="3"/>
        <v>0</v>
      </c>
      <c r="P49" s="805"/>
      <c r="Q49" s="805"/>
      <c r="R49" s="805"/>
      <c r="S49" s="805"/>
      <c r="T49" s="805"/>
      <c r="U49" s="805"/>
      <c r="V49" s="805"/>
      <c r="W49" s="805"/>
      <c r="X49" s="804">
        <f t="shared" si="4"/>
        <v>0</v>
      </c>
      <c r="Y49" s="805"/>
      <c r="Z49" s="805"/>
      <c r="AA49" s="804">
        <f t="shared" si="5"/>
        <v>0</v>
      </c>
      <c r="AB49" s="805"/>
      <c r="AC49" s="805"/>
      <c r="AD49" s="804">
        <f t="shared" si="6"/>
        <v>0</v>
      </c>
      <c r="AE49" s="805"/>
      <c r="AF49" s="805"/>
      <c r="AG49" s="1043">
        <f t="shared" si="7"/>
        <v>0</v>
      </c>
    </row>
    <row r="50" spans="1:33" ht="12.95" hidden="1" customHeight="1" x14ac:dyDescent="0.25">
      <c r="A50" s="740" t="s">
        <v>93</v>
      </c>
      <c r="B50" s="1277" t="s">
        <v>146</v>
      </c>
      <c r="C50" s="1229"/>
      <c r="D50" s="804">
        <f t="shared" si="63"/>
        <v>0</v>
      </c>
      <c r="E50" s="804">
        <f t="shared" si="64"/>
        <v>0</v>
      </c>
      <c r="F50" s="1043">
        <f t="shared" si="65"/>
        <v>0</v>
      </c>
      <c r="G50" s="600"/>
      <c r="H50" s="600"/>
      <c r="I50" s="804">
        <f t="shared" si="1"/>
        <v>0</v>
      </c>
      <c r="J50" s="600"/>
      <c r="K50" s="600"/>
      <c r="L50" s="804">
        <f t="shared" si="2"/>
        <v>0</v>
      </c>
      <c r="M50" s="600"/>
      <c r="N50" s="600"/>
      <c r="O50" s="804">
        <f t="shared" si="3"/>
        <v>0</v>
      </c>
      <c r="P50" s="600"/>
      <c r="Q50" s="600"/>
      <c r="R50" s="600"/>
      <c r="S50" s="600"/>
      <c r="T50" s="600"/>
      <c r="U50" s="600"/>
      <c r="V50" s="600"/>
      <c r="W50" s="600"/>
      <c r="X50" s="804">
        <f t="shared" si="4"/>
        <v>0</v>
      </c>
      <c r="Y50" s="600"/>
      <c r="Z50" s="600"/>
      <c r="AA50" s="804">
        <f t="shared" si="5"/>
        <v>0</v>
      </c>
      <c r="AB50" s="600"/>
      <c r="AC50" s="600"/>
      <c r="AD50" s="804">
        <f t="shared" si="6"/>
        <v>0</v>
      </c>
      <c r="AE50" s="600"/>
      <c r="AF50" s="600"/>
      <c r="AG50" s="1043">
        <f t="shared" si="7"/>
        <v>0</v>
      </c>
    </row>
    <row r="51" spans="1:33" s="1172" customFormat="1" ht="12.95" hidden="1" customHeight="1" x14ac:dyDescent="0.2">
      <c r="A51" s="741" t="s">
        <v>93</v>
      </c>
      <c r="B51" s="1171"/>
      <c r="C51" s="748" t="s">
        <v>147</v>
      </c>
      <c r="D51" s="804">
        <f t="shared" si="63"/>
        <v>0</v>
      </c>
      <c r="E51" s="804">
        <f t="shared" si="64"/>
        <v>0</v>
      </c>
      <c r="F51" s="1043">
        <f t="shared" si="65"/>
        <v>0</v>
      </c>
      <c r="G51" s="805"/>
      <c r="H51" s="805"/>
      <c r="I51" s="804">
        <f t="shared" si="1"/>
        <v>0</v>
      </c>
      <c r="J51" s="805"/>
      <c r="K51" s="805"/>
      <c r="L51" s="804">
        <f t="shared" si="2"/>
        <v>0</v>
      </c>
      <c r="M51" s="805"/>
      <c r="N51" s="805"/>
      <c r="O51" s="804">
        <f t="shared" si="3"/>
        <v>0</v>
      </c>
      <c r="P51" s="805"/>
      <c r="Q51" s="805"/>
      <c r="R51" s="805"/>
      <c r="S51" s="805"/>
      <c r="T51" s="805"/>
      <c r="U51" s="805"/>
      <c r="V51" s="805"/>
      <c r="W51" s="805"/>
      <c r="X51" s="804">
        <f t="shared" si="4"/>
        <v>0</v>
      </c>
      <c r="Y51" s="805"/>
      <c r="Z51" s="805"/>
      <c r="AA51" s="804">
        <f t="shared" si="5"/>
        <v>0</v>
      </c>
      <c r="AB51" s="805"/>
      <c r="AC51" s="805"/>
      <c r="AD51" s="804">
        <f t="shared" si="6"/>
        <v>0</v>
      </c>
      <c r="AE51" s="805"/>
      <c r="AF51" s="805"/>
      <c r="AG51" s="1043">
        <f t="shared" si="7"/>
        <v>0</v>
      </c>
    </row>
    <row r="52" spans="1:33" s="1172" customFormat="1" ht="12.95" hidden="1" customHeight="1" x14ac:dyDescent="0.2">
      <c r="A52" s="741" t="s">
        <v>93</v>
      </c>
      <c r="B52" s="1171"/>
      <c r="C52" s="748" t="s">
        <v>137</v>
      </c>
      <c r="D52" s="804">
        <f t="shared" si="63"/>
        <v>0</v>
      </c>
      <c r="E52" s="804">
        <f t="shared" si="64"/>
        <v>0</v>
      </c>
      <c r="F52" s="1043">
        <f t="shared" si="65"/>
        <v>0</v>
      </c>
      <c r="G52" s="805"/>
      <c r="H52" s="805"/>
      <c r="I52" s="804">
        <f t="shared" si="1"/>
        <v>0</v>
      </c>
      <c r="J52" s="805"/>
      <c r="K52" s="805"/>
      <c r="L52" s="804">
        <f t="shared" si="2"/>
        <v>0</v>
      </c>
      <c r="M52" s="805"/>
      <c r="N52" s="805"/>
      <c r="O52" s="804">
        <f t="shared" si="3"/>
        <v>0</v>
      </c>
      <c r="P52" s="805"/>
      <c r="Q52" s="805"/>
      <c r="R52" s="805"/>
      <c r="S52" s="805"/>
      <c r="T52" s="805"/>
      <c r="U52" s="805"/>
      <c r="V52" s="805"/>
      <c r="W52" s="805"/>
      <c r="X52" s="804">
        <f t="shared" si="4"/>
        <v>0</v>
      </c>
      <c r="Y52" s="805"/>
      <c r="Z52" s="805"/>
      <c r="AA52" s="804">
        <f t="shared" si="5"/>
        <v>0</v>
      </c>
      <c r="AB52" s="805"/>
      <c r="AC52" s="805"/>
      <c r="AD52" s="804">
        <f t="shared" si="6"/>
        <v>0</v>
      </c>
      <c r="AE52" s="805"/>
      <c r="AF52" s="805"/>
      <c r="AG52" s="1043">
        <f t="shared" si="7"/>
        <v>0</v>
      </c>
    </row>
    <row r="53" spans="1:33" s="1172" customFormat="1" ht="12.95" hidden="1" customHeight="1" x14ac:dyDescent="0.2">
      <c r="A53" s="742" t="s">
        <v>93</v>
      </c>
      <c r="B53" s="1171"/>
      <c r="C53" s="748" t="s">
        <v>148</v>
      </c>
      <c r="D53" s="804">
        <f t="shared" si="63"/>
        <v>0</v>
      </c>
      <c r="E53" s="804">
        <f t="shared" si="64"/>
        <v>0</v>
      </c>
      <c r="F53" s="1043">
        <f t="shared" si="65"/>
        <v>0</v>
      </c>
      <c r="G53" s="738"/>
      <c r="H53" s="738"/>
      <c r="I53" s="804">
        <f t="shared" si="1"/>
        <v>0</v>
      </c>
      <c r="J53" s="738"/>
      <c r="K53" s="738"/>
      <c r="L53" s="804">
        <f t="shared" si="2"/>
        <v>0</v>
      </c>
      <c r="M53" s="738"/>
      <c r="N53" s="738"/>
      <c r="O53" s="804">
        <f t="shared" si="3"/>
        <v>0</v>
      </c>
      <c r="P53" s="738"/>
      <c r="Q53" s="738"/>
      <c r="R53" s="738"/>
      <c r="S53" s="738"/>
      <c r="T53" s="738"/>
      <c r="U53" s="738"/>
      <c r="V53" s="738"/>
      <c r="W53" s="738"/>
      <c r="X53" s="804">
        <f t="shared" si="4"/>
        <v>0</v>
      </c>
      <c r="Y53" s="738"/>
      <c r="Z53" s="738"/>
      <c r="AA53" s="804">
        <f t="shared" si="5"/>
        <v>0</v>
      </c>
      <c r="AB53" s="738"/>
      <c r="AC53" s="738"/>
      <c r="AD53" s="804">
        <f t="shared" si="6"/>
        <v>0</v>
      </c>
      <c r="AE53" s="738"/>
      <c r="AF53" s="738"/>
      <c r="AG53" s="1043">
        <f t="shared" si="7"/>
        <v>0</v>
      </c>
    </row>
    <row r="54" spans="1:33" s="1172" customFormat="1" ht="12.95" hidden="1" customHeight="1" x14ac:dyDescent="0.2">
      <c r="A54" s="741" t="s">
        <v>93</v>
      </c>
      <c r="B54" s="1171"/>
      <c r="C54" s="748" t="s">
        <v>149</v>
      </c>
      <c r="D54" s="804">
        <f t="shared" si="63"/>
        <v>0</v>
      </c>
      <c r="E54" s="804">
        <f t="shared" si="64"/>
        <v>0</v>
      </c>
      <c r="F54" s="1043">
        <f t="shared" si="65"/>
        <v>0</v>
      </c>
      <c r="G54" s="805"/>
      <c r="H54" s="805"/>
      <c r="I54" s="804">
        <f t="shared" si="1"/>
        <v>0</v>
      </c>
      <c r="J54" s="805"/>
      <c r="K54" s="805"/>
      <c r="L54" s="804">
        <f t="shared" si="2"/>
        <v>0</v>
      </c>
      <c r="M54" s="805"/>
      <c r="N54" s="805"/>
      <c r="O54" s="804">
        <f t="shared" si="3"/>
        <v>0</v>
      </c>
      <c r="P54" s="805"/>
      <c r="Q54" s="805"/>
      <c r="R54" s="805"/>
      <c r="S54" s="805"/>
      <c r="T54" s="805"/>
      <c r="U54" s="805"/>
      <c r="V54" s="805"/>
      <c r="W54" s="805"/>
      <c r="X54" s="804">
        <f t="shared" si="4"/>
        <v>0</v>
      </c>
      <c r="Y54" s="805"/>
      <c r="Z54" s="805"/>
      <c r="AA54" s="804">
        <f t="shared" si="5"/>
        <v>0</v>
      </c>
      <c r="AB54" s="805"/>
      <c r="AC54" s="805"/>
      <c r="AD54" s="804">
        <f t="shared" si="6"/>
        <v>0</v>
      </c>
      <c r="AE54" s="805"/>
      <c r="AF54" s="805"/>
      <c r="AG54" s="1043">
        <f t="shared" si="7"/>
        <v>0</v>
      </c>
    </row>
    <row r="55" spans="1:33" s="1151" customFormat="1" ht="12.95" hidden="1" customHeight="1" x14ac:dyDescent="0.2">
      <c r="A55" s="504" t="s">
        <v>94</v>
      </c>
      <c r="B55" s="1275" t="s">
        <v>150</v>
      </c>
      <c r="C55" s="1276"/>
      <c r="D55" s="804">
        <f t="shared" si="63"/>
        <v>0</v>
      </c>
      <c r="E55" s="804">
        <f t="shared" si="64"/>
        <v>0</v>
      </c>
      <c r="F55" s="1043">
        <f t="shared" si="65"/>
        <v>0</v>
      </c>
      <c r="G55" s="804"/>
      <c r="H55" s="804"/>
      <c r="I55" s="804">
        <f t="shared" si="1"/>
        <v>0</v>
      </c>
      <c r="J55" s="804"/>
      <c r="K55" s="804"/>
      <c r="L55" s="804">
        <f t="shared" si="2"/>
        <v>0</v>
      </c>
      <c r="M55" s="804"/>
      <c r="N55" s="804"/>
      <c r="O55" s="804">
        <f t="shared" si="3"/>
        <v>0</v>
      </c>
      <c r="P55" s="804"/>
      <c r="Q55" s="804"/>
      <c r="R55" s="804"/>
      <c r="S55" s="804"/>
      <c r="T55" s="804"/>
      <c r="U55" s="804"/>
      <c r="V55" s="804"/>
      <c r="W55" s="804"/>
      <c r="X55" s="804">
        <f t="shared" si="4"/>
        <v>0</v>
      </c>
      <c r="Y55" s="804"/>
      <c r="Z55" s="804"/>
      <c r="AA55" s="804">
        <f t="shared" si="5"/>
        <v>0</v>
      </c>
      <c r="AB55" s="804"/>
      <c r="AC55" s="804"/>
      <c r="AD55" s="804">
        <f t="shared" si="6"/>
        <v>0</v>
      </c>
      <c r="AE55" s="804"/>
      <c r="AF55" s="804"/>
      <c r="AG55" s="1043">
        <f t="shared" si="7"/>
        <v>0</v>
      </c>
    </row>
    <row r="56" spans="1:33" ht="7.5" hidden="1" customHeight="1" x14ac:dyDescent="0.25">
      <c r="A56" s="504"/>
      <c r="B56" s="1275"/>
      <c r="C56" s="1276"/>
      <c r="D56" s="804">
        <f t="shared" si="63"/>
        <v>0</v>
      </c>
      <c r="E56" s="804">
        <f t="shared" si="64"/>
        <v>0</v>
      </c>
      <c r="F56" s="1043">
        <f t="shared" si="65"/>
        <v>0</v>
      </c>
      <c r="G56" s="804"/>
      <c r="H56" s="804"/>
      <c r="I56" s="804">
        <f t="shared" si="1"/>
        <v>0</v>
      </c>
      <c r="J56" s="804"/>
      <c r="K56" s="804"/>
      <c r="L56" s="804">
        <f t="shared" si="2"/>
        <v>0</v>
      </c>
      <c r="M56" s="804"/>
      <c r="N56" s="804"/>
      <c r="O56" s="804">
        <f t="shared" si="3"/>
        <v>0</v>
      </c>
      <c r="P56" s="600"/>
      <c r="Q56" s="600"/>
      <c r="R56" s="600"/>
      <c r="S56" s="600"/>
      <c r="T56" s="600"/>
      <c r="U56" s="600"/>
      <c r="V56" s="600"/>
      <c r="W56" s="600"/>
      <c r="X56" s="804">
        <f t="shared" si="4"/>
        <v>0</v>
      </c>
      <c r="Y56" s="600"/>
      <c r="Z56" s="600"/>
      <c r="AA56" s="804">
        <f t="shared" si="5"/>
        <v>0</v>
      </c>
      <c r="AB56" s="600"/>
      <c r="AC56" s="600"/>
      <c r="AD56" s="804">
        <f t="shared" si="6"/>
        <v>0</v>
      </c>
      <c r="AE56" s="600"/>
      <c r="AF56" s="600"/>
      <c r="AG56" s="1043">
        <f t="shared" si="7"/>
        <v>0</v>
      </c>
    </row>
    <row r="57" spans="1:33" ht="12.95" customHeight="1" x14ac:dyDescent="0.25">
      <c r="A57" s="505" t="s">
        <v>96</v>
      </c>
      <c r="B57" s="1245" t="s">
        <v>95</v>
      </c>
      <c r="C57" s="1280"/>
      <c r="D57" s="965">
        <f t="shared" si="63"/>
        <v>12950</v>
      </c>
      <c r="E57" s="703">
        <f t="shared" si="64"/>
        <v>0</v>
      </c>
      <c r="F57" s="1042">
        <f t="shared" si="65"/>
        <v>12950</v>
      </c>
      <c r="G57" s="746"/>
      <c r="H57" s="446"/>
      <c r="I57" s="703">
        <f t="shared" si="1"/>
        <v>0</v>
      </c>
      <c r="J57" s="446"/>
      <c r="K57" s="446"/>
      <c r="L57" s="703">
        <f t="shared" si="2"/>
        <v>0</v>
      </c>
      <c r="M57" s="446"/>
      <c r="N57" s="446"/>
      <c r="O57" s="703">
        <f t="shared" si="3"/>
        <v>0</v>
      </c>
      <c r="P57" s="446"/>
      <c r="Q57" s="446"/>
      <c r="R57" s="446"/>
      <c r="S57" s="446"/>
      <c r="T57" s="446"/>
      <c r="U57" s="446"/>
      <c r="V57" s="446"/>
      <c r="W57" s="446"/>
      <c r="X57" s="703">
        <f t="shared" si="4"/>
        <v>0</v>
      </c>
      <c r="Y57" s="446"/>
      <c r="Z57" s="446"/>
      <c r="AA57" s="703">
        <f t="shared" si="5"/>
        <v>0</v>
      </c>
      <c r="AB57" s="446"/>
      <c r="AC57" s="446"/>
      <c r="AD57" s="703">
        <f t="shared" si="6"/>
        <v>0</v>
      </c>
      <c r="AE57" s="446">
        <v>12950</v>
      </c>
      <c r="AF57" s="446"/>
      <c r="AG57" s="1042">
        <f t="shared" si="7"/>
        <v>12950</v>
      </c>
    </row>
    <row r="58" spans="1:33" ht="12.95" customHeight="1" x14ac:dyDescent="0.25">
      <c r="A58" s="505" t="s">
        <v>98</v>
      </c>
      <c r="B58" s="1245" t="s">
        <v>97</v>
      </c>
      <c r="C58" s="1280"/>
      <c r="D58" s="965">
        <f t="shared" si="63"/>
        <v>0</v>
      </c>
      <c r="E58" s="703">
        <f t="shared" si="64"/>
        <v>0</v>
      </c>
      <c r="F58" s="1042">
        <f t="shared" si="65"/>
        <v>0</v>
      </c>
      <c r="G58" s="746"/>
      <c r="H58" s="446"/>
      <c r="I58" s="703">
        <f t="shared" si="1"/>
        <v>0</v>
      </c>
      <c r="J58" s="446"/>
      <c r="K58" s="446"/>
      <c r="L58" s="703">
        <f t="shared" si="2"/>
        <v>0</v>
      </c>
      <c r="M58" s="446"/>
      <c r="N58" s="446"/>
      <c r="O58" s="703">
        <f t="shared" si="3"/>
        <v>0</v>
      </c>
      <c r="P58" s="446"/>
      <c r="Q58" s="446"/>
      <c r="R58" s="446"/>
      <c r="S58" s="446"/>
      <c r="T58" s="446"/>
      <c r="U58" s="446"/>
      <c r="V58" s="446"/>
      <c r="W58" s="446"/>
      <c r="X58" s="703">
        <f t="shared" si="4"/>
        <v>0</v>
      </c>
      <c r="Y58" s="446"/>
      <c r="Z58" s="446"/>
      <c r="AA58" s="703">
        <f t="shared" si="5"/>
        <v>0</v>
      </c>
      <c r="AB58" s="446"/>
      <c r="AC58" s="446"/>
      <c r="AD58" s="703">
        <f t="shared" si="6"/>
        <v>0</v>
      </c>
      <c r="AE58" s="446"/>
      <c r="AF58" s="446"/>
      <c r="AG58" s="1042">
        <f t="shared" si="7"/>
        <v>0</v>
      </c>
    </row>
    <row r="59" spans="1:33" ht="12.95" customHeight="1" x14ac:dyDescent="0.25">
      <c r="A59" s="505" t="s">
        <v>101</v>
      </c>
      <c r="B59" s="1245" t="s">
        <v>165</v>
      </c>
      <c r="C59" s="1280"/>
      <c r="D59" s="965">
        <f t="shared" si="63"/>
        <v>0</v>
      </c>
      <c r="E59" s="703">
        <f t="shared" si="64"/>
        <v>0</v>
      </c>
      <c r="F59" s="1042">
        <f t="shared" si="65"/>
        <v>0</v>
      </c>
      <c r="G59" s="746"/>
      <c r="H59" s="446"/>
      <c r="I59" s="703">
        <f t="shared" si="1"/>
        <v>0</v>
      </c>
      <c r="J59" s="446"/>
      <c r="K59" s="446"/>
      <c r="L59" s="703">
        <f t="shared" si="2"/>
        <v>0</v>
      </c>
      <c r="M59" s="446"/>
      <c r="N59" s="446"/>
      <c r="O59" s="703">
        <f t="shared" si="3"/>
        <v>0</v>
      </c>
      <c r="P59" s="446"/>
      <c r="Q59" s="446"/>
      <c r="R59" s="446"/>
      <c r="S59" s="446"/>
      <c r="T59" s="446"/>
      <c r="U59" s="446"/>
      <c r="V59" s="446"/>
      <c r="W59" s="446"/>
      <c r="X59" s="703">
        <f t="shared" si="4"/>
        <v>0</v>
      </c>
      <c r="Y59" s="446"/>
      <c r="Z59" s="446"/>
      <c r="AA59" s="703">
        <f t="shared" si="5"/>
        <v>0</v>
      </c>
      <c r="AB59" s="446"/>
      <c r="AC59" s="446"/>
      <c r="AD59" s="703">
        <f t="shared" si="6"/>
        <v>0</v>
      </c>
      <c r="AE59" s="446"/>
      <c r="AF59" s="446"/>
      <c r="AG59" s="1042">
        <f t="shared" si="7"/>
        <v>0</v>
      </c>
    </row>
    <row r="60" spans="1:33" ht="12.95" customHeight="1" x14ac:dyDescent="0.25">
      <c r="A60" s="505" t="s">
        <v>103</v>
      </c>
      <c r="B60" s="1245" t="s">
        <v>102</v>
      </c>
      <c r="C60" s="1280"/>
      <c r="D60" s="965">
        <f t="shared" si="63"/>
        <v>0</v>
      </c>
      <c r="E60" s="703">
        <f t="shared" si="64"/>
        <v>500</v>
      </c>
      <c r="F60" s="1042">
        <f t="shared" si="65"/>
        <v>500</v>
      </c>
      <c r="G60" s="746"/>
      <c r="H60" s="446"/>
      <c r="I60" s="703">
        <f t="shared" si="1"/>
        <v>0</v>
      </c>
      <c r="J60" s="446"/>
      <c r="K60" s="446"/>
      <c r="L60" s="703">
        <f t="shared" si="2"/>
        <v>0</v>
      </c>
      <c r="M60" s="446"/>
      <c r="N60" s="446"/>
      <c r="O60" s="703">
        <f t="shared" si="3"/>
        <v>0</v>
      </c>
      <c r="P60" s="446"/>
      <c r="Q60" s="446"/>
      <c r="R60" s="446"/>
      <c r="S60" s="446"/>
      <c r="T60" s="446"/>
      <c r="U60" s="446"/>
      <c r="V60" s="446"/>
      <c r="W60" s="446"/>
      <c r="X60" s="703">
        <f t="shared" si="4"/>
        <v>0</v>
      </c>
      <c r="Y60" s="446"/>
      <c r="Z60" s="446"/>
      <c r="AA60" s="703">
        <f t="shared" si="5"/>
        <v>0</v>
      </c>
      <c r="AB60" s="446"/>
      <c r="AC60" s="446"/>
      <c r="AD60" s="703">
        <f t="shared" si="6"/>
        <v>0</v>
      </c>
      <c r="AE60" s="446"/>
      <c r="AF60" s="446">
        <v>500</v>
      </c>
      <c r="AG60" s="1042">
        <f t="shared" si="7"/>
        <v>500</v>
      </c>
    </row>
    <row r="61" spans="1:33" ht="12.95" customHeight="1" x14ac:dyDescent="0.25">
      <c r="A61" s="505" t="s">
        <v>105</v>
      </c>
      <c r="B61" s="1245" t="s">
        <v>164</v>
      </c>
      <c r="C61" s="1280"/>
      <c r="D61" s="965">
        <f t="shared" si="63"/>
        <v>0</v>
      </c>
      <c r="E61" s="703">
        <f t="shared" si="64"/>
        <v>0</v>
      </c>
      <c r="F61" s="1042">
        <f t="shared" si="65"/>
        <v>0</v>
      </c>
      <c r="G61" s="746"/>
      <c r="H61" s="446"/>
      <c r="I61" s="703">
        <f t="shared" si="1"/>
        <v>0</v>
      </c>
      <c r="J61" s="446"/>
      <c r="K61" s="446"/>
      <c r="L61" s="703">
        <f t="shared" si="2"/>
        <v>0</v>
      </c>
      <c r="M61" s="446"/>
      <c r="N61" s="446"/>
      <c r="O61" s="703">
        <f t="shared" si="3"/>
        <v>0</v>
      </c>
      <c r="P61" s="446"/>
      <c r="Q61" s="446"/>
      <c r="R61" s="446"/>
      <c r="S61" s="446"/>
      <c r="T61" s="446"/>
      <c r="U61" s="446"/>
      <c r="V61" s="446"/>
      <c r="W61" s="446"/>
      <c r="X61" s="703">
        <f t="shared" si="4"/>
        <v>0</v>
      </c>
      <c r="Y61" s="446"/>
      <c r="Z61" s="446"/>
      <c r="AA61" s="703">
        <f t="shared" si="5"/>
        <v>0</v>
      </c>
      <c r="AB61" s="446">
        <v>0</v>
      </c>
      <c r="AC61" s="446"/>
      <c r="AD61" s="703">
        <f t="shared" si="6"/>
        <v>0</v>
      </c>
      <c r="AE61" s="446"/>
      <c r="AF61" s="446"/>
      <c r="AG61" s="1042">
        <f t="shared" si="7"/>
        <v>0</v>
      </c>
    </row>
    <row r="62" spans="1:33" ht="12.95" customHeight="1" x14ac:dyDescent="0.25">
      <c r="A62" s="505" t="s">
        <v>107</v>
      </c>
      <c r="B62" s="1236" t="s">
        <v>106</v>
      </c>
      <c r="C62" s="1235"/>
      <c r="D62" s="965">
        <f t="shared" si="63"/>
        <v>309631</v>
      </c>
      <c r="E62" s="703">
        <f t="shared" si="64"/>
        <v>-60299</v>
      </c>
      <c r="F62" s="1042">
        <f t="shared" si="65"/>
        <v>249332</v>
      </c>
      <c r="G62" s="746"/>
      <c r="H62" s="446"/>
      <c r="I62" s="703">
        <f t="shared" si="1"/>
        <v>0</v>
      </c>
      <c r="J62" s="446"/>
      <c r="K62" s="446"/>
      <c r="L62" s="703">
        <f t="shared" si="2"/>
        <v>0</v>
      </c>
      <c r="M62" s="446"/>
      <c r="N62" s="446"/>
      <c r="O62" s="703">
        <f t="shared" si="3"/>
        <v>0</v>
      </c>
      <c r="P62" s="446"/>
      <c r="Q62" s="446"/>
      <c r="R62" s="446"/>
      <c r="S62" s="446"/>
      <c r="T62" s="446"/>
      <c r="U62" s="446"/>
      <c r="V62" s="446"/>
      <c r="W62" s="446"/>
      <c r="X62" s="703">
        <f t="shared" si="4"/>
        <v>0</v>
      </c>
      <c r="Y62" s="446"/>
      <c r="Z62" s="446"/>
      <c r="AA62" s="703">
        <f t="shared" si="5"/>
        <v>0</v>
      </c>
      <c r="AB62" s="446"/>
      <c r="AC62" s="446"/>
      <c r="AD62" s="703">
        <f t="shared" si="6"/>
        <v>0</v>
      </c>
      <c r="AE62" s="446">
        <f>SUM(AE63:AE71)</f>
        <v>309631</v>
      </c>
      <c r="AF62" s="446">
        <f>SUM(AF63:AF71)</f>
        <v>-60299</v>
      </c>
      <c r="AG62" s="1042">
        <f>+AF62+AE62</f>
        <v>249332</v>
      </c>
    </row>
    <row r="63" spans="1:33" ht="12.95" customHeight="1" x14ac:dyDescent="0.25">
      <c r="A63" s="505"/>
      <c r="B63" s="1130"/>
      <c r="C63" s="1133" t="s">
        <v>904</v>
      </c>
      <c r="D63" s="746">
        <f t="shared" si="63"/>
        <v>11200</v>
      </c>
      <c r="E63" s="446">
        <f t="shared" si="64"/>
        <v>-11200</v>
      </c>
      <c r="F63" s="747">
        <f t="shared" si="65"/>
        <v>0</v>
      </c>
      <c r="G63" s="746"/>
      <c r="H63" s="446"/>
      <c r="I63" s="703">
        <f t="shared" si="1"/>
        <v>0</v>
      </c>
      <c r="J63" s="446"/>
      <c r="K63" s="446"/>
      <c r="L63" s="703">
        <f t="shared" si="2"/>
        <v>0</v>
      </c>
      <c r="M63" s="446"/>
      <c r="N63" s="446"/>
      <c r="O63" s="703">
        <f t="shared" si="3"/>
        <v>0</v>
      </c>
      <c r="P63" s="446"/>
      <c r="Q63" s="446"/>
      <c r="R63" s="446"/>
      <c r="S63" s="446"/>
      <c r="T63" s="446"/>
      <c r="U63" s="446"/>
      <c r="V63" s="446"/>
      <c r="W63" s="446"/>
      <c r="X63" s="703">
        <f t="shared" si="4"/>
        <v>0</v>
      </c>
      <c r="Y63" s="446"/>
      <c r="Z63" s="446"/>
      <c r="AA63" s="703">
        <f t="shared" si="5"/>
        <v>0</v>
      </c>
      <c r="AB63" s="446"/>
      <c r="AC63" s="446"/>
      <c r="AD63" s="703">
        <f t="shared" si="6"/>
        <v>0</v>
      </c>
      <c r="AE63" s="446">
        <v>11200</v>
      </c>
      <c r="AF63" s="446">
        <f>-13-607-1380-9200</f>
        <v>-11200</v>
      </c>
      <c r="AG63" s="1042">
        <f t="shared" si="7"/>
        <v>0</v>
      </c>
    </row>
    <row r="64" spans="1:33" ht="12.95" customHeight="1" x14ac:dyDescent="0.25">
      <c r="A64" s="505"/>
      <c r="B64" s="1130"/>
      <c r="C64" s="1133" t="s">
        <v>632</v>
      </c>
      <c r="D64" s="746">
        <f t="shared" si="63"/>
        <v>0</v>
      </c>
      <c r="E64" s="446">
        <f t="shared" si="64"/>
        <v>0</v>
      </c>
      <c r="F64" s="747">
        <f t="shared" si="65"/>
        <v>0</v>
      </c>
      <c r="G64" s="746"/>
      <c r="H64" s="446"/>
      <c r="I64" s="703">
        <f t="shared" si="1"/>
        <v>0</v>
      </c>
      <c r="J64" s="446"/>
      <c r="K64" s="446"/>
      <c r="L64" s="703">
        <f t="shared" si="2"/>
        <v>0</v>
      </c>
      <c r="M64" s="446"/>
      <c r="N64" s="446"/>
      <c r="O64" s="703">
        <f t="shared" si="3"/>
        <v>0</v>
      </c>
      <c r="P64" s="446"/>
      <c r="Q64" s="446"/>
      <c r="R64" s="446"/>
      <c r="S64" s="446"/>
      <c r="T64" s="446"/>
      <c r="U64" s="446"/>
      <c r="V64" s="446"/>
      <c r="W64" s="446"/>
      <c r="X64" s="703">
        <f t="shared" si="4"/>
        <v>0</v>
      </c>
      <c r="Y64" s="446"/>
      <c r="Z64" s="446"/>
      <c r="AA64" s="703">
        <f t="shared" si="5"/>
        <v>0</v>
      </c>
      <c r="AB64" s="446"/>
      <c r="AC64" s="446"/>
      <c r="AD64" s="703">
        <f t="shared" si="6"/>
        <v>0</v>
      </c>
      <c r="AE64" s="446">
        <v>0</v>
      </c>
      <c r="AF64" s="446"/>
      <c r="AG64" s="1042">
        <f t="shared" si="7"/>
        <v>0</v>
      </c>
    </row>
    <row r="65" spans="1:33" ht="12.95" customHeight="1" x14ac:dyDescent="0.25">
      <c r="A65" s="505"/>
      <c r="B65" s="1130"/>
      <c r="C65" s="1133" t="s">
        <v>817</v>
      </c>
      <c r="D65" s="746">
        <f t="shared" si="63"/>
        <v>0</v>
      </c>
      <c r="E65" s="446">
        <f t="shared" si="64"/>
        <v>0</v>
      </c>
      <c r="F65" s="747">
        <f t="shared" si="65"/>
        <v>0</v>
      </c>
      <c r="G65" s="746"/>
      <c r="H65" s="446"/>
      <c r="I65" s="703">
        <f t="shared" si="1"/>
        <v>0</v>
      </c>
      <c r="J65" s="446"/>
      <c r="K65" s="446"/>
      <c r="L65" s="703">
        <f t="shared" si="2"/>
        <v>0</v>
      </c>
      <c r="M65" s="446"/>
      <c r="N65" s="446"/>
      <c r="O65" s="703">
        <f t="shared" si="3"/>
        <v>0</v>
      </c>
      <c r="P65" s="446"/>
      <c r="Q65" s="446"/>
      <c r="R65" s="446"/>
      <c r="S65" s="446"/>
      <c r="T65" s="446"/>
      <c r="U65" s="446"/>
      <c r="V65" s="446"/>
      <c r="W65" s="446"/>
      <c r="X65" s="703">
        <f t="shared" si="4"/>
        <v>0</v>
      </c>
      <c r="Y65" s="446"/>
      <c r="Z65" s="446"/>
      <c r="AA65" s="703">
        <f t="shared" si="5"/>
        <v>0</v>
      </c>
      <c r="AB65" s="446"/>
      <c r="AC65" s="446"/>
      <c r="AD65" s="703">
        <f t="shared" si="6"/>
        <v>0</v>
      </c>
      <c r="AE65" s="446">
        <v>0</v>
      </c>
      <c r="AF65" s="446"/>
      <c r="AG65" s="1042">
        <f t="shared" si="7"/>
        <v>0</v>
      </c>
    </row>
    <row r="66" spans="1:33" ht="12.95" customHeight="1" x14ac:dyDescent="0.25">
      <c r="A66" s="505"/>
      <c r="B66" s="1130"/>
      <c r="C66" s="1129" t="s">
        <v>847</v>
      </c>
      <c r="D66" s="746">
        <f t="shared" ref="D66" si="66">+G66+M66+P66+S66+V66+AE66+J66+Y66+AB66</f>
        <v>0</v>
      </c>
      <c r="E66" s="446">
        <f t="shared" ref="E66" si="67">+H66+N66+Q66+T66+W66+AF66+K66+Z66+AC66</f>
        <v>0</v>
      </c>
      <c r="F66" s="747">
        <f t="shared" ref="F66" si="68">+I66+O66+R66+U66+X66+AG66+L66+AA66+AD66</f>
        <v>0</v>
      </c>
      <c r="G66" s="746"/>
      <c r="H66" s="446"/>
      <c r="I66" s="703">
        <f t="shared" ref="I66" si="69">+H66+G66</f>
        <v>0</v>
      </c>
      <c r="J66" s="446"/>
      <c r="K66" s="446"/>
      <c r="L66" s="703">
        <f t="shared" ref="L66" si="70">+K66+J66</f>
        <v>0</v>
      </c>
      <c r="M66" s="446"/>
      <c r="N66" s="446"/>
      <c r="O66" s="703">
        <f t="shared" ref="O66" si="71">+N66+M66</f>
        <v>0</v>
      </c>
      <c r="P66" s="446"/>
      <c r="Q66" s="446"/>
      <c r="R66" s="446"/>
      <c r="S66" s="446"/>
      <c r="T66" s="446"/>
      <c r="U66" s="446"/>
      <c r="V66" s="446"/>
      <c r="W66" s="446"/>
      <c r="X66" s="703">
        <f t="shared" ref="X66" si="72">+W66+V66</f>
        <v>0</v>
      </c>
      <c r="Y66" s="446"/>
      <c r="Z66" s="446"/>
      <c r="AA66" s="703">
        <f t="shared" ref="AA66" si="73">+Z66+Y66</f>
        <v>0</v>
      </c>
      <c r="AB66" s="446"/>
      <c r="AC66" s="446"/>
      <c r="AD66" s="703">
        <f t="shared" ref="AD66" si="74">+AC66+AB66</f>
        <v>0</v>
      </c>
      <c r="AE66" s="446">
        <v>0</v>
      </c>
      <c r="AF66" s="446"/>
      <c r="AG66" s="1042">
        <f t="shared" ref="AG66" si="75">+AF66+AE66</f>
        <v>0</v>
      </c>
    </row>
    <row r="67" spans="1:33" ht="12.95" customHeight="1" x14ac:dyDescent="0.25">
      <c r="A67" s="505"/>
      <c r="B67" s="1130"/>
      <c r="C67" s="1133" t="s">
        <v>697</v>
      </c>
      <c r="D67" s="746">
        <f t="shared" si="63"/>
        <v>217363</v>
      </c>
      <c r="E67" s="446">
        <f t="shared" si="64"/>
        <v>-41021</v>
      </c>
      <c r="F67" s="747">
        <f t="shared" si="65"/>
        <v>176342</v>
      </c>
      <c r="G67" s="746"/>
      <c r="H67" s="446"/>
      <c r="I67" s="703">
        <f t="shared" si="1"/>
        <v>0</v>
      </c>
      <c r="J67" s="446"/>
      <c r="K67" s="446"/>
      <c r="L67" s="703">
        <f t="shared" si="2"/>
        <v>0</v>
      </c>
      <c r="M67" s="446"/>
      <c r="N67" s="446"/>
      <c r="O67" s="703">
        <f t="shared" si="3"/>
        <v>0</v>
      </c>
      <c r="P67" s="446"/>
      <c r="Q67" s="446"/>
      <c r="R67" s="446"/>
      <c r="S67" s="446"/>
      <c r="T67" s="446"/>
      <c r="U67" s="446"/>
      <c r="V67" s="446"/>
      <c r="W67" s="446"/>
      <c r="X67" s="703">
        <f t="shared" si="4"/>
        <v>0</v>
      </c>
      <c r="Y67" s="446"/>
      <c r="Z67" s="446"/>
      <c r="AA67" s="703">
        <f t="shared" si="5"/>
        <v>0</v>
      </c>
      <c r="AB67" s="446"/>
      <c r="AC67" s="446"/>
      <c r="AD67" s="703">
        <f t="shared" si="6"/>
        <v>0</v>
      </c>
      <c r="AE67" s="446">
        <v>217363</v>
      </c>
      <c r="AF67" s="446">
        <f>-10000-2095-1000-2578-64-3268-56-91-1167-1251-46-1437-110+708-140-82-165-871-1221-460-41-70-1283-27-25-10-14-284-3759-768-36-2921-1068-503-178-3167-114-63-1325-8+37</f>
        <v>-41021</v>
      </c>
      <c r="AG67" s="1042">
        <f t="shared" si="7"/>
        <v>176342</v>
      </c>
    </row>
    <row r="68" spans="1:33" ht="12.95" customHeight="1" x14ac:dyDescent="0.25">
      <c r="A68" s="505"/>
      <c r="B68" s="1130"/>
      <c r="C68" s="1133" t="s">
        <v>903</v>
      </c>
      <c r="D68" s="746">
        <f t="shared" si="63"/>
        <v>851</v>
      </c>
      <c r="E68" s="446">
        <f t="shared" si="64"/>
        <v>2952</v>
      </c>
      <c r="F68" s="747">
        <f t="shared" si="65"/>
        <v>3803</v>
      </c>
      <c r="G68" s="746"/>
      <c r="H68" s="446"/>
      <c r="I68" s="703">
        <f t="shared" si="1"/>
        <v>0</v>
      </c>
      <c r="J68" s="446"/>
      <c r="K68" s="446"/>
      <c r="L68" s="703">
        <f t="shared" si="2"/>
        <v>0</v>
      </c>
      <c r="M68" s="446"/>
      <c r="N68" s="446"/>
      <c r="O68" s="703">
        <f t="shared" si="3"/>
        <v>0</v>
      </c>
      <c r="P68" s="446"/>
      <c r="Q68" s="446"/>
      <c r="R68" s="446"/>
      <c r="S68" s="446"/>
      <c r="T68" s="446"/>
      <c r="U68" s="446"/>
      <c r="V68" s="446"/>
      <c r="W68" s="446"/>
      <c r="X68" s="703">
        <f t="shared" si="4"/>
        <v>0</v>
      </c>
      <c r="Y68" s="446"/>
      <c r="Z68" s="446"/>
      <c r="AA68" s="703">
        <f t="shared" si="5"/>
        <v>0</v>
      </c>
      <c r="AB68" s="446"/>
      <c r="AC68" s="446"/>
      <c r="AD68" s="703">
        <f t="shared" si="6"/>
        <v>0</v>
      </c>
      <c r="AE68" s="446">
        <v>851</v>
      </c>
      <c r="AF68" s="446">
        <f>2952</f>
        <v>2952</v>
      </c>
      <c r="AG68" s="1042">
        <f t="shared" si="7"/>
        <v>3803</v>
      </c>
    </row>
    <row r="69" spans="1:33" ht="12.95" customHeight="1" x14ac:dyDescent="0.25">
      <c r="A69" s="505"/>
      <c r="B69" s="1130"/>
      <c r="C69" s="1133" t="s">
        <v>866</v>
      </c>
      <c r="D69" s="746">
        <f t="shared" si="63"/>
        <v>6385</v>
      </c>
      <c r="E69" s="446">
        <f t="shared" si="64"/>
        <v>-136</v>
      </c>
      <c r="F69" s="747">
        <f t="shared" si="65"/>
        <v>6249</v>
      </c>
      <c r="G69" s="746"/>
      <c r="H69" s="446"/>
      <c r="I69" s="703"/>
      <c r="J69" s="446"/>
      <c r="K69" s="446"/>
      <c r="L69" s="703"/>
      <c r="M69" s="446"/>
      <c r="N69" s="446"/>
      <c r="O69" s="703"/>
      <c r="P69" s="446"/>
      <c r="Q69" s="446"/>
      <c r="R69" s="446"/>
      <c r="S69" s="446"/>
      <c r="T69" s="446"/>
      <c r="U69" s="446"/>
      <c r="V69" s="446"/>
      <c r="W69" s="446"/>
      <c r="X69" s="703"/>
      <c r="Y69" s="446"/>
      <c r="Z69" s="446"/>
      <c r="AA69" s="703"/>
      <c r="AB69" s="446"/>
      <c r="AC69" s="446"/>
      <c r="AD69" s="703"/>
      <c r="AE69" s="446">
        <v>6385</v>
      </c>
      <c r="AF69" s="446">
        <f>-36-100</f>
        <v>-136</v>
      </c>
      <c r="AG69" s="1042">
        <f t="shared" si="7"/>
        <v>6249</v>
      </c>
    </row>
    <row r="70" spans="1:33" ht="12.95" customHeight="1" x14ac:dyDescent="0.25">
      <c r="A70" s="505"/>
      <c r="B70" s="1130"/>
      <c r="C70" s="1133" t="s">
        <v>601</v>
      </c>
      <c r="D70" s="746">
        <f t="shared" si="63"/>
        <v>28443</v>
      </c>
      <c r="E70" s="446">
        <f t="shared" si="64"/>
        <v>-10761</v>
      </c>
      <c r="F70" s="747">
        <f t="shared" si="65"/>
        <v>17682</v>
      </c>
      <c r="G70" s="965"/>
      <c r="H70" s="446"/>
      <c r="I70" s="703">
        <f t="shared" ref="I70:I101" si="76">+H70+G70</f>
        <v>0</v>
      </c>
      <c r="J70" s="703"/>
      <c r="K70" s="446"/>
      <c r="L70" s="703">
        <f t="shared" ref="L70:L101" si="77">+K70+J70</f>
        <v>0</v>
      </c>
      <c r="M70" s="446"/>
      <c r="N70" s="446"/>
      <c r="O70" s="703">
        <f t="shared" ref="O70:O101" si="78">+N70+M70</f>
        <v>0</v>
      </c>
      <c r="P70" s="446"/>
      <c r="Q70" s="446"/>
      <c r="R70" s="446"/>
      <c r="S70" s="446"/>
      <c r="T70" s="446"/>
      <c r="U70" s="446"/>
      <c r="V70" s="446"/>
      <c r="W70" s="446"/>
      <c r="X70" s="703">
        <f t="shared" ref="X70:X101" si="79">+W70+V70</f>
        <v>0</v>
      </c>
      <c r="Y70" s="446"/>
      <c r="Z70" s="446"/>
      <c r="AA70" s="703">
        <f t="shared" ref="AA70:AA101" si="80">+Z70+Y70</f>
        <v>0</v>
      </c>
      <c r="AB70" s="446"/>
      <c r="AC70" s="446"/>
      <c r="AD70" s="703">
        <f t="shared" ref="AD70:AD101" si="81">+AC70+AB70</f>
        <v>0</v>
      </c>
      <c r="AE70" s="446">
        <v>28443</v>
      </c>
      <c r="AF70" s="446">
        <f>-2486-110-235-500-1100-2000-1991-3000-426-826+2287-229-79-66</f>
        <v>-10761</v>
      </c>
      <c r="AG70" s="1042">
        <f t="shared" ref="AG70:AG100" si="82">+AF70+AE70</f>
        <v>17682</v>
      </c>
    </row>
    <row r="71" spans="1:33" ht="12.95" customHeight="1" x14ac:dyDescent="0.25">
      <c r="A71" s="505"/>
      <c r="B71" s="1130"/>
      <c r="C71" s="1129" t="s">
        <v>865</v>
      </c>
      <c r="D71" s="746">
        <f t="shared" si="63"/>
        <v>45389</v>
      </c>
      <c r="E71" s="446">
        <f t="shared" si="64"/>
        <v>-133</v>
      </c>
      <c r="F71" s="747">
        <f t="shared" si="65"/>
        <v>45256</v>
      </c>
      <c r="G71" s="746"/>
      <c r="H71" s="446"/>
      <c r="I71" s="703">
        <f t="shared" si="76"/>
        <v>0</v>
      </c>
      <c r="J71" s="446"/>
      <c r="K71" s="446"/>
      <c r="L71" s="703">
        <f t="shared" si="77"/>
        <v>0</v>
      </c>
      <c r="M71" s="446"/>
      <c r="N71" s="446"/>
      <c r="O71" s="703">
        <f t="shared" si="78"/>
        <v>0</v>
      </c>
      <c r="P71" s="446"/>
      <c r="Q71" s="446"/>
      <c r="R71" s="446"/>
      <c r="S71" s="446"/>
      <c r="T71" s="446"/>
      <c r="U71" s="446"/>
      <c r="V71" s="446"/>
      <c r="W71" s="446"/>
      <c r="X71" s="703">
        <f t="shared" si="79"/>
        <v>0</v>
      </c>
      <c r="Y71" s="446"/>
      <c r="Z71" s="446"/>
      <c r="AA71" s="703">
        <f t="shared" si="80"/>
        <v>0</v>
      </c>
      <c r="AB71" s="446"/>
      <c r="AC71" s="446"/>
      <c r="AD71" s="703">
        <f t="shared" si="81"/>
        <v>0</v>
      </c>
      <c r="AE71" s="446">
        <v>45389</v>
      </c>
      <c r="AF71" s="446">
        <v>-133</v>
      </c>
      <c r="AG71" s="1042">
        <f t="shared" si="82"/>
        <v>45256</v>
      </c>
    </row>
    <row r="72" spans="1:33" s="1151" customFormat="1" ht="12.95" customHeight="1" x14ac:dyDescent="0.2">
      <c r="A72" s="503" t="s">
        <v>108</v>
      </c>
      <c r="B72" s="1240" t="s">
        <v>163</v>
      </c>
      <c r="C72" s="1225"/>
      <c r="D72" s="965">
        <f t="shared" si="63"/>
        <v>322581</v>
      </c>
      <c r="E72" s="703">
        <f t="shared" si="64"/>
        <v>-59799</v>
      </c>
      <c r="F72" s="1042">
        <f t="shared" si="65"/>
        <v>262782</v>
      </c>
      <c r="G72" s="746"/>
      <c r="H72" s="703">
        <f>+H62+H61+H60+H59+H58+H57</f>
        <v>0</v>
      </c>
      <c r="I72" s="703">
        <f t="shared" si="76"/>
        <v>0</v>
      </c>
      <c r="J72" s="446"/>
      <c r="K72" s="703"/>
      <c r="L72" s="703">
        <f t="shared" si="77"/>
        <v>0</v>
      </c>
      <c r="M72" s="703"/>
      <c r="N72" s="703"/>
      <c r="O72" s="703">
        <f t="shared" si="78"/>
        <v>0</v>
      </c>
      <c r="P72" s="703">
        <f t="shared" ref="P72:W72" si="83">+P62+P61+P60+P59+P58+P57</f>
        <v>0</v>
      </c>
      <c r="Q72" s="703">
        <f t="shared" si="83"/>
        <v>0</v>
      </c>
      <c r="R72" s="703">
        <f t="shared" si="83"/>
        <v>0</v>
      </c>
      <c r="S72" s="703">
        <f t="shared" si="83"/>
        <v>0</v>
      </c>
      <c r="T72" s="703">
        <f t="shared" si="83"/>
        <v>0</v>
      </c>
      <c r="U72" s="703">
        <f t="shared" si="83"/>
        <v>0</v>
      </c>
      <c r="V72" s="703">
        <f t="shared" si="83"/>
        <v>0</v>
      </c>
      <c r="W72" s="703">
        <f t="shared" si="83"/>
        <v>0</v>
      </c>
      <c r="X72" s="703">
        <f t="shared" si="79"/>
        <v>0</v>
      </c>
      <c r="Y72" s="703">
        <f>+Y62+Y61+Y60+Y59+Y58+Y57</f>
        <v>0</v>
      </c>
      <c r="Z72" s="703">
        <f>+Z62+Z61+Z60+Z59+Z58+Z57</f>
        <v>0</v>
      </c>
      <c r="AA72" s="703">
        <f t="shared" si="80"/>
        <v>0</v>
      </c>
      <c r="AB72" s="703">
        <f>+AB62+AB61+AB60+AB59+AB58+AB57</f>
        <v>0</v>
      </c>
      <c r="AC72" s="703"/>
      <c r="AD72" s="703">
        <f t="shared" si="81"/>
        <v>0</v>
      </c>
      <c r="AE72" s="703">
        <f>+AE62+AE61+AE60+AE59+AE58+AE57</f>
        <v>322581</v>
      </c>
      <c r="AF72" s="703">
        <f>+AF62+AF61+AF60+AF59+AF58+AF57</f>
        <v>-59799</v>
      </c>
      <c r="AG72" s="1042">
        <f>+AF72+AE72</f>
        <v>262782</v>
      </c>
    </row>
    <row r="73" spans="1:33" ht="11.25" customHeight="1" x14ac:dyDescent="0.25">
      <c r="A73" s="504"/>
      <c r="B73" s="1131"/>
      <c r="C73" s="1132"/>
      <c r="D73" s="804"/>
      <c r="E73" s="804"/>
      <c r="F73" s="1043"/>
      <c r="G73" s="600"/>
      <c r="H73" s="600"/>
      <c r="I73" s="804"/>
      <c r="J73" s="600"/>
      <c r="K73" s="600"/>
      <c r="L73" s="804"/>
      <c r="M73" s="600"/>
      <c r="N73" s="600"/>
      <c r="O73" s="804"/>
      <c r="P73" s="600"/>
      <c r="Q73" s="600"/>
      <c r="R73" s="600"/>
      <c r="S73" s="600"/>
      <c r="T73" s="600"/>
      <c r="U73" s="600"/>
      <c r="V73" s="600"/>
      <c r="W73" s="600"/>
      <c r="X73" s="804"/>
      <c r="Y73" s="600"/>
      <c r="Z73" s="600"/>
      <c r="AA73" s="804"/>
      <c r="AB73" s="600"/>
      <c r="AC73" s="600"/>
      <c r="AD73" s="804"/>
      <c r="AE73" s="600"/>
      <c r="AF73" s="600"/>
      <c r="AG73" s="1043"/>
    </row>
    <row r="74" spans="1:33" ht="12.95" customHeight="1" x14ac:dyDescent="0.25">
      <c r="A74" s="4" t="s">
        <v>110</v>
      </c>
      <c r="B74" s="1236" t="s">
        <v>109</v>
      </c>
      <c r="C74" s="1236"/>
      <c r="D74" s="703">
        <f t="shared" ref="D74:D93" si="84">+G74+M74+P74+S74+V74+AE74+J74+Y74+AB74</f>
        <v>0</v>
      </c>
      <c r="E74" s="703">
        <f t="shared" ref="E74:E93" si="85">+H74+N74+Q74+T74+W74+AF74+K74+Z74+AC74</f>
        <v>0</v>
      </c>
      <c r="F74" s="703">
        <f t="shared" ref="F74:F93" si="86">+I74+O74+R74+U74+X74+AG74+L74+AA74+AD74</f>
        <v>0</v>
      </c>
      <c r="G74" s="446"/>
      <c r="H74" s="446"/>
      <c r="I74" s="703">
        <f t="shared" si="76"/>
        <v>0</v>
      </c>
      <c r="J74" s="841"/>
      <c r="K74" s="446"/>
      <c r="L74" s="703">
        <f t="shared" si="77"/>
        <v>0</v>
      </c>
      <c r="M74" s="446"/>
      <c r="N74" s="446"/>
      <c r="O74" s="703">
        <f t="shared" si="78"/>
        <v>0</v>
      </c>
      <c r="P74" s="446"/>
      <c r="Q74" s="446"/>
      <c r="R74" s="446"/>
      <c r="S74" s="446"/>
      <c r="T74" s="446"/>
      <c r="U74" s="446"/>
      <c r="V74" s="446"/>
      <c r="W74" s="446"/>
      <c r="X74" s="703">
        <f t="shared" si="79"/>
        <v>0</v>
      </c>
      <c r="Y74" s="446"/>
      <c r="Z74" s="446"/>
      <c r="AA74" s="703">
        <f t="shared" si="80"/>
        <v>0</v>
      </c>
      <c r="AB74" s="446"/>
      <c r="AC74" s="446"/>
      <c r="AD74" s="703">
        <f t="shared" si="81"/>
        <v>0</v>
      </c>
      <c r="AE74" s="446"/>
      <c r="AF74" s="446"/>
      <c r="AG74" s="1042">
        <f t="shared" si="82"/>
        <v>0</v>
      </c>
    </row>
    <row r="75" spans="1:33" ht="12.95" customHeight="1" x14ac:dyDescent="0.25">
      <c r="A75" s="4" t="s">
        <v>111</v>
      </c>
      <c r="B75" s="1236" t="s">
        <v>162</v>
      </c>
      <c r="C75" s="1236"/>
      <c r="D75" s="703">
        <f t="shared" si="84"/>
        <v>0</v>
      </c>
      <c r="E75" s="703">
        <f t="shared" si="85"/>
        <v>0</v>
      </c>
      <c r="F75" s="703">
        <f t="shared" si="86"/>
        <v>0</v>
      </c>
      <c r="G75" s="446"/>
      <c r="H75" s="446"/>
      <c r="I75" s="703">
        <f t="shared" si="76"/>
        <v>0</v>
      </c>
      <c r="J75" s="446"/>
      <c r="K75" s="446"/>
      <c r="L75" s="703">
        <f t="shared" si="77"/>
        <v>0</v>
      </c>
      <c r="M75" s="446"/>
      <c r="N75" s="446"/>
      <c r="O75" s="703">
        <f t="shared" si="78"/>
        <v>0</v>
      </c>
      <c r="P75" s="446"/>
      <c r="Q75" s="446"/>
      <c r="R75" s="446"/>
      <c r="S75" s="446"/>
      <c r="T75" s="446"/>
      <c r="U75" s="446"/>
      <c r="V75" s="446"/>
      <c r="W75" s="446"/>
      <c r="X75" s="703">
        <f t="shared" si="79"/>
        <v>0</v>
      </c>
      <c r="Y75" s="446"/>
      <c r="Z75" s="446"/>
      <c r="AA75" s="703">
        <f t="shared" si="80"/>
        <v>0</v>
      </c>
      <c r="AB75" s="446"/>
      <c r="AC75" s="446"/>
      <c r="AD75" s="703">
        <f t="shared" si="81"/>
        <v>0</v>
      </c>
      <c r="AE75" s="446"/>
      <c r="AF75" s="446"/>
      <c r="AG75" s="1042">
        <f t="shared" si="82"/>
        <v>0</v>
      </c>
    </row>
    <row r="76" spans="1:33" s="1172" customFormat="1" ht="12.95" customHeight="1" x14ac:dyDescent="0.2">
      <c r="A76" s="32" t="s">
        <v>111</v>
      </c>
      <c r="B76" s="1173"/>
      <c r="C76" s="840" t="s">
        <v>112</v>
      </c>
      <c r="D76" s="703">
        <f t="shared" si="84"/>
        <v>0</v>
      </c>
      <c r="E76" s="703">
        <f t="shared" si="85"/>
        <v>0</v>
      </c>
      <c r="F76" s="703">
        <f t="shared" si="86"/>
        <v>0</v>
      </c>
      <c r="G76" s="446"/>
      <c r="H76" s="841"/>
      <c r="I76" s="703">
        <f t="shared" si="76"/>
        <v>0</v>
      </c>
      <c r="J76" s="446"/>
      <c r="K76" s="841"/>
      <c r="L76" s="703">
        <f t="shared" si="77"/>
        <v>0</v>
      </c>
      <c r="M76" s="841"/>
      <c r="N76" s="841"/>
      <c r="O76" s="703">
        <f t="shared" si="78"/>
        <v>0</v>
      </c>
      <c r="P76" s="841"/>
      <c r="Q76" s="841"/>
      <c r="R76" s="841"/>
      <c r="S76" s="841"/>
      <c r="T76" s="841"/>
      <c r="U76" s="841"/>
      <c r="V76" s="841"/>
      <c r="W76" s="841"/>
      <c r="X76" s="703">
        <f t="shared" si="79"/>
        <v>0</v>
      </c>
      <c r="Y76" s="841"/>
      <c r="Z76" s="841"/>
      <c r="AA76" s="703">
        <f t="shared" si="80"/>
        <v>0</v>
      </c>
      <c r="AB76" s="841"/>
      <c r="AC76" s="841"/>
      <c r="AD76" s="703">
        <f t="shared" si="81"/>
        <v>0</v>
      </c>
      <c r="AE76" s="841"/>
      <c r="AF76" s="841"/>
      <c r="AG76" s="1042">
        <f t="shared" si="82"/>
        <v>0</v>
      </c>
    </row>
    <row r="77" spans="1:33" ht="12.95" customHeight="1" x14ac:dyDescent="0.25">
      <c r="A77" s="4" t="s">
        <v>114</v>
      </c>
      <c r="B77" s="1236" t="s">
        <v>113</v>
      </c>
      <c r="C77" s="1236"/>
      <c r="D77" s="703">
        <f t="shared" si="84"/>
        <v>0</v>
      </c>
      <c r="E77" s="703">
        <f t="shared" si="85"/>
        <v>0</v>
      </c>
      <c r="F77" s="703">
        <f t="shared" si="86"/>
        <v>0</v>
      </c>
      <c r="G77" s="446"/>
      <c r="H77" s="446"/>
      <c r="I77" s="703">
        <f t="shared" si="76"/>
        <v>0</v>
      </c>
      <c r="J77" s="446"/>
      <c r="K77" s="446"/>
      <c r="L77" s="703">
        <f t="shared" si="77"/>
        <v>0</v>
      </c>
      <c r="M77" s="446"/>
      <c r="N77" s="446"/>
      <c r="O77" s="703">
        <f t="shared" si="78"/>
        <v>0</v>
      </c>
      <c r="P77" s="446"/>
      <c r="Q77" s="446"/>
      <c r="R77" s="446"/>
      <c r="S77" s="446"/>
      <c r="T77" s="446"/>
      <c r="U77" s="446"/>
      <c r="V77" s="446"/>
      <c r="W77" s="446"/>
      <c r="X77" s="703">
        <f t="shared" si="79"/>
        <v>0</v>
      </c>
      <c r="Y77" s="446"/>
      <c r="Z77" s="446"/>
      <c r="AA77" s="703">
        <f t="shared" si="80"/>
        <v>0</v>
      </c>
      <c r="AB77" s="446"/>
      <c r="AC77" s="446"/>
      <c r="AD77" s="703">
        <f t="shared" si="81"/>
        <v>0</v>
      </c>
      <c r="AE77" s="446"/>
      <c r="AF77" s="446"/>
      <c r="AG77" s="1042">
        <f t="shared" si="82"/>
        <v>0</v>
      </c>
    </row>
    <row r="78" spans="1:33" ht="12.95" customHeight="1" x14ac:dyDescent="0.25">
      <c r="A78" s="4" t="s">
        <v>116</v>
      </c>
      <c r="B78" s="1236" t="s">
        <v>115</v>
      </c>
      <c r="C78" s="1236"/>
      <c r="D78" s="703">
        <f t="shared" si="84"/>
        <v>113</v>
      </c>
      <c r="E78" s="703">
        <f t="shared" si="85"/>
        <v>500</v>
      </c>
      <c r="F78" s="703">
        <f t="shared" si="86"/>
        <v>613</v>
      </c>
      <c r="G78" s="446"/>
      <c r="H78" s="446"/>
      <c r="I78" s="703">
        <f t="shared" si="76"/>
        <v>0</v>
      </c>
      <c r="J78" s="446"/>
      <c r="K78" s="446"/>
      <c r="L78" s="703">
        <f t="shared" si="77"/>
        <v>0</v>
      </c>
      <c r="M78" s="446"/>
      <c r="N78" s="446"/>
      <c r="O78" s="703">
        <f t="shared" si="78"/>
        <v>0</v>
      </c>
      <c r="P78" s="446"/>
      <c r="Q78" s="446"/>
      <c r="R78" s="446"/>
      <c r="S78" s="446">
        <v>113</v>
      </c>
      <c r="T78" s="446">
        <v>500</v>
      </c>
      <c r="U78" s="703">
        <f t="shared" ref="U78" si="87">+T78+S78</f>
        <v>613</v>
      </c>
      <c r="V78" s="446"/>
      <c r="W78" s="446"/>
      <c r="X78" s="703">
        <f t="shared" si="79"/>
        <v>0</v>
      </c>
      <c r="Y78" s="446"/>
      <c r="Z78" s="446"/>
      <c r="AA78" s="703">
        <f t="shared" si="80"/>
        <v>0</v>
      </c>
      <c r="AB78" s="446"/>
      <c r="AC78" s="446"/>
      <c r="AD78" s="703">
        <f t="shared" si="81"/>
        <v>0</v>
      </c>
      <c r="AE78" s="446"/>
      <c r="AF78" s="446"/>
      <c r="AG78" s="1042">
        <f t="shared" si="82"/>
        <v>0</v>
      </c>
    </row>
    <row r="79" spans="1:33" ht="12.95" customHeight="1" x14ac:dyDescent="0.25">
      <c r="A79" s="4" t="s">
        <v>118</v>
      </c>
      <c r="B79" s="1236" t="s">
        <v>117</v>
      </c>
      <c r="C79" s="1236"/>
      <c r="D79" s="703">
        <f t="shared" si="84"/>
        <v>0</v>
      </c>
      <c r="E79" s="703">
        <f t="shared" si="85"/>
        <v>0</v>
      </c>
      <c r="F79" s="703">
        <f t="shared" si="86"/>
        <v>0</v>
      </c>
      <c r="G79" s="446"/>
      <c r="H79" s="446"/>
      <c r="I79" s="703">
        <f t="shared" si="76"/>
        <v>0</v>
      </c>
      <c r="J79" s="446"/>
      <c r="K79" s="446"/>
      <c r="L79" s="703">
        <f t="shared" si="77"/>
        <v>0</v>
      </c>
      <c r="M79" s="446"/>
      <c r="N79" s="446"/>
      <c r="O79" s="703">
        <f t="shared" si="78"/>
        <v>0</v>
      </c>
      <c r="P79" s="446"/>
      <c r="Q79" s="446"/>
      <c r="R79" s="446"/>
      <c r="S79" s="446"/>
      <c r="T79" s="446"/>
      <c r="U79" s="446"/>
      <c r="V79" s="446"/>
      <c r="W79" s="446"/>
      <c r="X79" s="703">
        <f t="shared" si="79"/>
        <v>0</v>
      </c>
      <c r="Y79" s="446"/>
      <c r="Z79" s="446"/>
      <c r="AA79" s="703">
        <f t="shared" si="80"/>
        <v>0</v>
      </c>
      <c r="AB79" s="446"/>
      <c r="AC79" s="446"/>
      <c r="AD79" s="703">
        <f t="shared" si="81"/>
        <v>0</v>
      </c>
      <c r="AE79" s="446"/>
      <c r="AF79" s="446"/>
      <c r="AG79" s="1042">
        <f t="shared" si="82"/>
        <v>0</v>
      </c>
    </row>
    <row r="80" spans="1:33" ht="12.95" customHeight="1" x14ac:dyDescent="0.25">
      <c r="A80" s="4" t="s">
        <v>120</v>
      </c>
      <c r="B80" s="1236" t="s">
        <v>119</v>
      </c>
      <c r="C80" s="1236"/>
      <c r="D80" s="703">
        <f t="shared" si="84"/>
        <v>0</v>
      </c>
      <c r="E80" s="703">
        <f t="shared" si="85"/>
        <v>0</v>
      </c>
      <c r="F80" s="703">
        <f t="shared" si="86"/>
        <v>0</v>
      </c>
      <c r="G80" s="703"/>
      <c r="H80" s="446"/>
      <c r="I80" s="703">
        <f t="shared" si="76"/>
        <v>0</v>
      </c>
      <c r="J80" s="703"/>
      <c r="K80" s="446"/>
      <c r="L80" s="703">
        <f t="shared" si="77"/>
        <v>0</v>
      </c>
      <c r="M80" s="446"/>
      <c r="N80" s="446"/>
      <c r="O80" s="703">
        <f t="shared" si="78"/>
        <v>0</v>
      </c>
      <c r="P80" s="446"/>
      <c r="Q80" s="446"/>
      <c r="R80" s="446"/>
      <c r="S80" s="446"/>
      <c r="T80" s="446"/>
      <c r="U80" s="446"/>
      <c r="V80" s="446"/>
      <c r="W80" s="446"/>
      <c r="X80" s="703">
        <f t="shared" si="79"/>
        <v>0</v>
      </c>
      <c r="Y80" s="446"/>
      <c r="Z80" s="446"/>
      <c r="AA80" s="703">
        <f t="shared" si="80"/>
        <v>0</v>
      </c>
      <c r="AB80" s="446"/>
      <c r="AC80" s="446"/>
      <c r="AD80" s="703">
        <f t="shared" si="81"/>
        <v>0</v>
      </c>
      <c r="AE80" s="446"/>
      <c r="AF80" s="446"/>
      <c r="AG80" s="1042">
        <f t="shared" si="82"/>
        <v>0</v>
      </c>
    </row>
    <row r="81" spans="1:33" ht="12.95" customHeight="1" x14ac:dyDescent="0.25">
      <c r="A81" s="4" t="s">
        <v>122</v>
      </c>
      <c r="B81" s="1236" t="s">
        <v>121</v>
      </c>
      <c r="C81" s="1236"/>
      <c r="D81" s="703">
        <f t="shared" si="84"/>
        <v>31</v>
      </c>
      <c r="E81" s="703">
        <f t="shared" si="85"/>
        <v>25</v>
      </c>
      <c r="F81" s="703">
        <f t="shared" si="86"/>
        <v>56</v>
      </c>
      <c r="G81" s="446"/>
      <c r="H81" s="446"/>
      <c r="I81" s="703">
        <f t="shared" si="76"/>
        <v>0</v>
      </c>
      <c r="J81" s="446"/>
      <c r="K81" s="446"/>
      <c r="L81" s="703">
        <f t="shared" si="77"/>
        <v>0</v>
      </c>
      <c r="M81" s="446"/>
      <c r="N81" s="446"/>
      <c r="O81" s="703">
        <f t="shared" si="78"/>
        <v>0</v>
      </c>
      <c r="P81" s="446"/>
      <c r="Q81" s="446"/>
      <c r="R81" s="446"/>
      <c r="S81" s="446">
        <v>31</v>
      </c>
      <c r="T81" s="446">
        <v>25</v>
      </c>
      <c r="U81" s="703">
        <f t="shared" ref="U81" si="88">+T81+S81</f>
        <v>56</v>
      </c>
      <c r="V81" s="446"/>
      <c r="W81" s="446"/>
      <c r="X81" s="703">
        <f t="shared" si="79"/>
        <v>0</v>
      </c>
      <c r="Y81" s="446"/>
      <c r="Z81" s="446"/>
      <c r="AA81" s="703">
        <f t="shared" si="80"/>
        <v>0</v>
      </c>
      <c r="AB81" s="446"/>
      <c r="AC81" s="446"/>
      <c r="AD81" s="703">
        <f t="shared" si="81"/>
        <v>0</v>
      </c>
      <c r="AE81" s="446"/>
      <c r="AF81" s="446"/>
      <c r="AG81" s="1042">
        <f t="shared" si="82"/>
        <v>0</v>
      </c>
    </row>
    <row r="82" spans="1:33" s="1151" customFormat="1" ht="12.95" customHeight="1" x14ac:dyDescent="0.2">
      <c r="A82" s="5" t="s">
        <v>123</v>
      </c>
      <c r="B82" s="1240" t="s">
        <v>161</v>
      </c>
      <c r="C82" s="1240"/>
      <c r="D82" s="965">
        <f t="shared" si="84"/>
        <v>144</v>
      </c>
      <c r="E82" s="703">
        <f t="shared" si="85"/>
        <v>525</v>
      </c>
      <c r="F82" s="1042">
        <f t="shared" si="86"/>
        <v>669</v>
      </c>
      <c r="G82" s="965">
        <f t="shared" ref="G82:H82" si="89">G74+G75+G77+G78+G79+G80+G81</f>
        <v>0</v>
      </c>
      <c r="H82" s="965">
        <f t="shared" si="89"/>
        <v>0</v>
      </c>
      <c r="I82" s="965">
        <f>G82+H82</f>
        <v>0</v>
      </c>
      <c r="J82" s="746"/>
      <c r="K82" s="965">
        <f t="shared" ref="K82" si="90">K74+K75+K77+K78+K79+K80+K81</f>
        <v>0</v>
      </c>
      <c r="L82" s="965">
        <f>J82+K82</f>
        <v>0</v>
      </c>
      <c r="M82" s="965">
        <f>M74+M75+M77+M78+M79+M80+M81</f>
        <v>0</v>
      </c>
      <c r="N82" s="965">
        <f t="shared" ref="N82" si="91">N74+N75+N77+N78+N79+N80+N81</f>
        <v>0</v>
      </c>
      <c r="O82" s="965">
        <f>M82+N82</f>
        <v>0</v>
      </c>
      <c r="P82" s="965">
        <f>P74+P75+P77+P78+P79+P80+P81</f>
        <v>0</v>
      </c>
      <c r="Q82" s="965">
        <f t="shared" ref="Q82" si="92">Q74+Q75+Q77+Q78+Q79+Q80+Q81</f>
        <v>0</v>
      </c>
      <c r="R82" s="965">
        <f t="shared" ref="R82" si="93">R74+R75+R77+R78+R79+R80+R81</f>
        <v>0</v>
      </c>
      <c r="S82" s="965">
        <f>S74+S75+S77+S78+S79+S80+S81</f>
        <v>144</v>
      </c>
      <c r="T82" s="965">
        <f t="shared" ref="T82" si="94">T74+T75+T77+T78+T79+T80+T81</f>
        <v>525</v>
      </c>
      <c r="U82" s="965">
        <f t="shared" ref="U82" si="95">U74+U75+U77+U78+U79+U80+U81</f>
        <v>669</v>
      </c>
      <c r="V82" s="965">
        <f>V74+V75+V77+V78+V79+V80+V81</f>
        <v>0</v>
      </c>
      <c r="W82" s="965">
        <f t="shared" ref="W82" si="96">W74+W75+W77+W78+W79+W80+W81</f>
        <v>0</v>
      </c>
      <c r="X82" s="965">
        <f>V82+W82</f>
        <v>0</v>
      </c>
      <c r="Y82" s="965">
        <f>Y74+Y75+Y77+Y78+Y79+Y80+Y81</f>
        <v>0</v>
      </c>
      <c r="Z82" s="965">
        <f t="shared" ref="Z82" si="97">Z74+Z75+Z77+Z78+Z79+Z80+Z81</f>
        <v>0</v>
      </c>
      <c r="AA82" s="965">
        <f>Y82+Z82</f>
        <v>0</v>
      </c>
      <c r="AB82" s="965">
        <f>AB74+AB75+AB77+AB78+AB79+AB80+AB81</f>
        <v>0</v>
      </c>
      <c r="AC82" s="965">
        <f t="shared" ref="AC82" si="98">AC74+AC75+AC77+AC78+AC79+AC80+AC81</f>
        <v>0</v>
      </c>
      <c r="AD82" s="965">
        <f>AB82+AC82</f>
        <v>0</v>
      </c>
      <c r="AE82" s="965">
        <f>AE74+AE75+AE77+AE78+AE79+AE80+AE81</f>
        <v>0</v>
      </c>
      <c r="AF82" s="965">
        <f t="shared" ref="AF82" si="99">AF74+AF75+AF77+AF78+AF79+AF80+AF81</f>
        <v>0</v>
      </c>
      <c r="AG82" s="1123">
        <f>AE82+AF82</f>
        <v>0</v>
      </c>
    </row>
    <row r="83" spans="1:33" x14ac:dyDescent="0.25">
      <c r="A83" s="504"/>
      <c r="B83" s="1131"/>
      <c r="C83" s="1132"/>
      <c r="D83" s="804">
        <f t="shared" si="84"/>
        <v>0</v>
      </c>
      <c r="E83" s="804">
        <f t="shared" si="85"/>
        <v>0</v>
      </c>
      <c r="F83" s="1043">
        <f t="shared" si="86"/>
        <v>0</v>
      </c>
      <c r="G83" s="600"/>
      <c r="H83" s="600"/>
      <c r="I83" s="804">
        <f t="shared" si="76"/>
        <v>0</v>
      </c>
      <c r="J83" s="600"/>
      <c r="K83" s="600"/>
      <c r="L83" s="804">
        <f t="shared" si="77"/>
        <v>0</v>
      </c>
      <c r="M83" s="600"/>
      <c r="N83" s="600"/>
      <c r="O83" s="804">
        <f t="shared" si="78"/>
        <v>0</v>
      </c>
      <c r="P83" s="600"/>
      <c r="Q83" s="600"/>
      <c r="R83" s="600"/>
      <c r="S83" s="600"/>
      <c r="T83" s="600"/>
      <c r="U83" s="600"/>
      <c r="V83" s="600"/>
      <c r="W83" s="600"/>
      <c r="X83" s="804">
        <f t="shared" si="79"/>
        <v>0</v>
      </c>
      <c r="Y83" s="600"/>
      <c r="Z83" s="600"/>
      <c r="AA83" s="804">
        <f t="shared" si="80"/>
        <v>0</v>
      </c>
      <c r="AB83" s="600"/>
      <c r="AC83" s="600"/>
      <c r="AD83" s="804">
        <f t="shared" si="81"/>
        <v>0</v>
      </c>
      <c r="AE83" s="600"/>
      <c r="AF83" s="600"/>
      <c r="AG83" s="1043">
        <f t="shared" si="82"/>
        <v>0</v>
      </c>
    </row>
    <row r="84" spans="1:33" ht="12.95" customHeight="1" x14ac:dyDescent="0.25">
      <c r="A84" s="4" t="s">
        <v>125</v>
      </c>
      <c r="B84" s="1236" t="s">
        <v>124</v>
      </c>
      <c r="C84" s="1236"/>
      <c r="D84" s="703">
        <f t="shared" si="84"/>
        <v>0</v>
      </c>
      <c r="E84" s="703">
        <f t="shared" si="85"/>
        <v>0</v>
      </c>
      <c r="F84" s="703">
        <f t="shared" si="86"/>
        <v>0</v>
      </c>
      <c r="G84" s="446"/>
      <c r="H84" s="446"/>
      <c r="I84" s="703">
        <f t="shared" si="76"/>
        <v>0</v>
      </c>
      <c r="J84" s="446"/>
      <c r="K84" s="446"/>
      <c r="L84" s="703">
        <f t="shared" si="77"/>
        <v>0</v>
      </c>
      <c r="M84" s="446"/>
      <c r="N84" s="446"/>
      <c r="O84" s="703">
        <f t="shared" si="78"/>
        <v>0</v>
      </c>
      <c r="P84" s="446"/>
      <c r="Q84" s="446"/>
      <c r="R84" s="446"/>
      <c r="S84" s="446"/>
      <c r="T84" s="446"/>
      <c r="U84" s="446"/>
      <c r="V84" s="446"/>
      <c r="W84" s="446"/>
      <c r="X84" s="703">
        <f t="shared" si="79"/>
        <v>0</v>
      </c>
      <c r="Y84" s="446"/>
      <c r="Z84" s="446"/>
      <c r="AA84" s="703">
        <f t="shared" si="80"/>
        <v>0</v>
      </c>
      <c r="AB84" s="446"/>
      <c r="AC84" s="446"/>
      <c r="AD84" s="703">
        <f t="shared" si="81"/>
        <v>0</v>
      </c>
      <c r="AE84" s="446"/>
      <c r="AF84" s="446"/>
      <c r="AG84" s="1042">
        <f t="shared" si="82"/>
        <v>0</v>
      </c>
    </row>
    <row r="85" spans="1:33" ht="12.95" customHeight="1" x14ac:dyDescent="0.25">
      <c r="A85" s="4" t="s">
        <v>127</v>
      </c>
      <c r="B85" s="1236" t="s">
        <v>126</v>
      </c>
      <c r="C85" s="1236"/>
      <c r="D85" s="703">
        <f t="shared" si="84"/>
        <v>0</v>
      </c>
      <c r="E85" s="703">
        <f t="shared" si="85"/>
        <v>0</v>
      </c>
      <c r="F85" s="703">
        <f t="shared" si="86"/>
        <v>0</v>
      </c>
      <c r="G85" s="446"/>
      <c r="H85" s="446"/>
      <c r="I85" s="703">
        <f t="shared" si="76"/>
        <v>0</v>
      </c>
      <c r="J85" s="446"/>
      <c r="K85" s="446"/>
      <c r="L85" s="703">
        <f t="shared" si="77"/>
        <v>0</v>
      </c>
      <c r="M85" s="446"/>
      <c r="N85" s="446"/>
      <c r="O85" s="703">
        <f t="shared" si="78"/>
        <v>0</v>
      </c>
      <c r="P85" s="446"/>
      <c r="Q85" s="446"/>
      <c r="R85" s="446"/>
      <c r="S85" s="446"/>
      <c r="T85" s="446"/>
      <c r="U85" s="446"/>
      <c r="V85" s="446"/>
      <c r="W85" s="446"/>
      <c r="X85" s="703">
        <f t="shared" si="79"/>
        <v>0</v>
      </c>
      <c r="Y85" s="446"/>
      <c r="Z85" s="446"/>
      <c r="AA85" s="703">
        <f t="shared" si="80"/>
        <v>0</v>
      </c>
      <c r="AB85" s="446"/>
      <c r="AC85" s="446"/>
      <c r="AD85" s="703">
        <f t="shared" si="81"/>
        <v>0</v>
      </c>
      <c r="AE85" s="446"/>
      <c r="AF85" s="446"/>
      <c r="AG85" s="1042">
        <f t="shared" si="82"/>
        <v>0</v>
      </c>
    </row>
    <row r="86" spans="1:33" ht="12.95" customHeight="1" x14ac:dyDescent="0.25">
      <c r="A86" s="4" t="s">
        <v>129</v>
      </c>
      <c r="B86" s="1236" t="s">
        <v>128</v>
      </c>
      <c r="C86" s="1236"/>
      <c r="D86" s="703">
        <f t="shared" si="84"/>
        <v>0</v>
      </c>
      <c r="E86" s="703">
        <f t="shared" si="85"/>
        <v>0</v>
      </c>
      <c r="F86" s="703">
        <f t="shared" si="86"/>
        <v>0</v>
      </c>
      <c r="G86" s="703"/>
      <c r="H86" s="446"/>
      <c r="I86" s="703">
        <f t="shared" si="76"/>
        <v>0</v>
      </c>
      <c r="J86" s="446"/>
      <c r="K86" s="446"/>
      <c r="L86" s="703">
        <f t="shared" si="77"/>
        <v>0</v>
      </c>
      <c r="M86" s="446"/>
      <c r="N86" s="446"/>
      <c r="O86" s="703">
        <f t="shared" si="78"/>
        <v>0</v>
      </c>
      <c r="P86" s="446"/>
      <c r="Q86" s="446"/>
      <c r="R86" s="446"/>
      <c r="S86" s="446"/>
      <c r="T86" s="446"/>
      <c r="U86" s="446"/>
      <c r="V86" s="446"/>
      <c r="W86" s="446"/>
      <c r="X86" s="703">
        <f t="shared" si="79"/>
        <v>0</v>
      </c>
      <c r="Y86" s="446"/>
      <c r="Z86" s="446"/>
      <c r="AA86" s="703">
        <f t="shared" si="80"/>
        <v>0</v>
      </c>
      <c r="AB86" s="446"/>
      <c r="AC86" s="446"/>
      <c r="AD86" s="703">
        <f t="shared" si="81"/>
        <v>0</v>
      </c>
      <c r="AE86" s="446"/>
      <c r="AF86" s="446"/>
      <c r="AG86" s="1042">
        <f t="shared" si="82"/>
        <v>0</v>
      </c>
    </row>
    <row r="87" spans="1:33" ht="12.95" customHeight="1" x14ac:dyDescent="0.25">
      <c r="A87" s="4" t="s">
        <v>131</v>
      </c>
      <c r="B87" s="1236" t="s">
        <v>130</v>
      </c>
      <c r="C87" s="1236"/>
      <c r="D87" s="703">
        <f t="shared" si="84"/>
        <v>0</v>
      </c>
      <c r="E87" s="703">
        <f t="shared" si="85"/>
        <v>0</v>
      </c>
      <c r="F87" s="703">
        <f t="shared" si="86"/>
        <v>0</v>
      </c>
      <c r="G87" s="446"/>
      <c r="H87" s="446"/>
      <c r="I87" s="703">
        <f t="shared" si="76"/>
        <v>0</v>
      </c>
      <c r="J87" s="446"/>
      <c r="K87" s="446"/>
      <c r="L87" s="703">
        <f t="shared" si="77"/>
        <v>0</v>
      </c>
      <c r="M87" s="446"/>
      <c r="N87" s="446"/>
      <c r="O87" s="703">
        <f t="shared" si="78"/>
        <v>0</v>
      </c>
      <c r="P87" s="446"/>
      <c r="Q87" s="446"/>
      <c r="R87" s="446"/>
      <c r="S87" s="446"/>
      <c r="T87" s="446"/>
      <c r="U87" s="446"/>
      <c r="V87" s="446"/>
      <c r="W87" s="446"/>
      <c r="X87" s="703">
        <f t="shared" si="79"/>
        <v>0</v>
      </c>
      <c r="Y87" s="446"/>
      <c r="Z87" s="446"/>
      <c r="AA87" s="703">
        <f t="shared" si="80"/>
        <v>0</v>
      </c>
      <c r="AB87" s="446"/>
      <c r="AC87" s="446"/>
      <c r="AD87" s="703">
        <f t="shared" si="81"/>
        <v>0</v>
      </c>
      <c r="AE87" s="446"/>
      <c r="AF87" s="446"/>
      <c r="AG87" s="1042">
        <f t="shared" si="82"/>
        <v>0</v>
      </c>
    </row>
    <row r="88" spans="1:33" s="1151" customFormat="1" ht="12.95" customHeight="1" x14ac:dyDescent="0.2">
      <c r="A88" s="5" t="s">
        <v>132</v>
      </c>
      <c r="B88" s="1240" t="s">
        <v>160</v>
      </c>
      <c r="C88" s="1240"/>
      <c r="D88" s="965">
        <f t="shared" si="84"/>
        <v>0</v>
      </c>
      <c r="E88" s="703">
        <f t="shared" si="85"/>
        <v>0</v>
      </c>
      <c r="F88" s="1042">
        <f t="shared" si="86"/>
        <v>0</v>
      </c>
      <c r="G88" s="703">
        <f>SUM(G84:G87)</f>
        <v>0</v>
      </c>
      <c r="H88" s="703">
        <f>SUM(H84:H87)</f>
        <v>0</v>
      </c>
      <c r="I88" s="703">
        <f>G88+H88</f>
        <v>0</v>
      </c>
      <c r="J88" s="703"/>
      <c r="K88" s="703">
        <f t="shared" ref="K88" si="100">SUM(K84:K87)</f>
        <v>0</v>
      </c>
      <c r="L88" s="703">
        <f t="shared" ref="L88" si="101">J88+K88</f>
        <v>0</v>
      </c>
      <c r="M88" s="703">
        <f t="shared" ref="M88:N88" si="102">SUM(M84:M87)</f>
        <v>0</v>
      </c>
      <c r="N88" s="703">
        <f t="shared" si="102"/>
        <v>0</v>
      </c>
      <c r="O88" s="703">
        <f t="shared" ref="O88" si="103">M88+N88</f>
        <v>0</v>
      </c>
      <c r="P88" s="703">
        <f t="shared" ref="P88:Q88" si="104">SUM(P84:P87)</f>
        <v>0</v>
      </c>
      <c r="Q88" s="703">
        <f t="shared" si="104"/>
        <v>0</v>
      </c>
      <c r="R88" s="703">
        <f t="shared" ref="R88" si="105">P88+Q88</f>
        <v>0</v>
      </c>
      <c r="S88" s="703">
        <f t="shared" ref="S88:T88" si="106">SUM(S84:S87)</f>
        <v>0</v>
      </c>
      <c r="T88" s="703">
        <f t="shared" si="106"/>
        <v>0</v>
      </c>
      <c r="U88" s="703">
        <f t="shared" ref="U88" si="107">S88+T88</f>
        <v>0</v>
      </c>
      <c r="V88" s="703">
        <f t="shared" ref="V88:W88" si="108">SUM(V84:V87)</f>
        <v>0</v>
      </c>
      <c r="W88" s="703">
        <f t="shared" si="108"/>
        <v>0</v>
      </c>
      <c r="X88" s="703">
        <f t="shared" ref="X88" si="109">V88+W88</f>
        <v>0</v>
      </c>
      <c r="Y88" s="703">
        <f t="shared" ref="Y88:Z88" si="110">SUM(Y84:Y87)</f>
        <v>0</v>
      </c>
      <c r="Z88" s="703">
        <f t="shared" si="110"/>
        <v>0</v>
      </c>
      <c r="AA88" s="703">
        <f t="shared" ref="AA88" si="111">Y88+Z88</f>
        <v>0</v>
      </c>
      <c r="AB88" s="703">
        <f t="shared" ref="AB88:AC88" si="112">SUM(AB84:AB87)</f>
        <v>0</v>
      </c>
      <c r="AC88" s="703">
        <f t="shared" si="112"/>
        <v>0</v>
      </c>
      <c r="AD88" s="703">
        <f t="shared" ref="AD88" si="113">AB88+AC88</f>
        <v>0</v>
      </c>
      <c r="AE88" s="703">
        <f t="shared" ref="AE88:AF88" si="114">SUM(AE84:AE87)</f>
        <v>0</v>
      </c>
      <c r="AF88" s="703">
        <f t="shared" si="114"/>
        <v>0</v>
      </c>
      <c r="AG88" s="1042">
        <f t="shared" ref="AG88" si="115">AE88+AF88</f>
        <v>0</v>
      </c>
    </row>
    <row r="89" spans="1:33" ht="12.95" hidden="1" customHeight="1" x14ac:dyDescent="0.25">
      <c r="A89" s="504"/>
      <c r="B89" s="1131"/>
      <c r="C89" s="1132"/>
      <c r="D89" s="804">
        <f t="shared" si="84"/>
        <v>0</v>
      </c>
      <c r="E89" s="804">
        <f t="shared" si="85"/>
        <v>0</v>
      </c>
      <c r="F89" s="1043">
        <f t="shared" si="86"/>
        <v>0</v>
      </c>
      <c r="G89" s="600"/>
      <c r="H89" s="600"/>
      <c r="I89" s="804">
        <f t="shared" si="76"/>
        <v>0</v>
      </c>
      <c r="J89" s="600"/>
      <c r="K89" s="600"/>
      <c r="L89" s="804">
        <f t="shared" si="77"/>
        <v>0</v>
      </c>
      <c r="M89" s="600"/>
      <c r="N89" s="600"/>
      <c r="O89" s="804">
        <f t="shared" si="78"/>
        <v>0</v>
      </c>
      <c r="P89" s="600"/>
      <c r="Q89" s="600"/>
      <c r="R89" s="600"/>
      <c r="S89" s="600"/>
      <c r="T89" s="600"/>
      <c r="U89" s="600"/>
      <c r="V89" s="600"/>
      <c r="W89" s="600"/>
      <c r="X89" s="804">
        <f t="shared" si="79"/>
        <v>0</v>
      </c>
      <c r="Y89" s="600"/>
      <c r="Z89" s="600"/>
      <c r="AA89" s="804">
        <f t="shared" si="80"/>
        <v>0</v>
      </c>
      <c r="AB89" s="600"/>
      <c r="AC89" s="600"/>
      <c r="AD89" s="804">
        <f t="shared" si="81"/>
        <v>0</v>
      </c>
      <c r="AE89" s="600"/>
      <c r="AF89" s="600"/>
      <c r="AG89" s="1043">
        <f t="shared" si="82"/>
        <v>0</v>
      </c>
    </row>
    <row r="90" spans="1:33" ht="12.95" hidden="1" customHeight="1" x14ac:dyDescent="0.25">
      <c r="A90" s="88" t="s">
        <v>371</v>
      </c>
      <c r="B90" s="1256" t="s">
        <v>372</v>
      </c>
      <c r="C90" s="1257"/>
      <c r="D90" s="804">
        <f t="shared" si="84"/>
        <v>0</v>
      </c>
      <c r="E90" s="804">
        <f t="shared" si="85"/>
        <v>0</v>
      </c>
      <c r="F90" s="1043">
        <f t="shared" si="86"/>
        <v>0</v>
      </c>
      <c r="G90" s="600"/>
      <c r="H90" s="600"/>
      <c r="I90" s="804">
        <f t="shared" si="76"/>
        <v>0</v>
      </c>
      <c r="J90" s="600"/>
      <c r="K90" s="600"/>
      <c r="L90" s="804">
        <f t="shared" si="77"/>
        <v>0</v>
      </c>
      <c r="M90" s="600"/>
      <c r="N90" s="600"/>
      <c r="O90" s="804">
        <f t="shared" si="78"/>
        <v>0</v>
      </c>
      <c r="P90" s="600"/>
      <c r="Q90" s="600"/>
      <c r="R90" s="600"/>
      <c r="S90" s="600"/>
      <c r="T90" s="600"/>
      <c r="U90" s="600"/>
      <c r="V90" s="600"/>
      <c r="W90" s="600"/>
      <c r="X90" s="804">
        <f t="shared" si="79"/>
        <v>0</v>
      </c>
      <c r="Y90" s="600"/>
      <c r="Z90" s="600"/>
      <c r="AA90" s="804">
        <f t="shared" si="80"/>
        <v>0</v>
      </c>
      <c r="AB90" s="600"/>
      <c r="AC90" s="600"/>
      <c r="AD90" s="804">
        <f t="shared" si="81"/>
        <v>0</v>
      </c>
      <c r="AE90" s="600"/>
      <c r="AF90" s="600"/>
      <c r="AG90" s="1043">
        <f t="shared" si="82"/>
        <v>0</v>
      </c>
    </row>
    <row r="91" spans="1:33" ht="12.95" hidden="1" customHeight="1" x14ac:dyDescent="0.25">
      <c r="A91" s="88" t="s">
        <v>384</v>
      </c>
      <c r="B91" s="1256" t="s">
        <v>385</v>
      </c>
      <c r="C91" s="1257"/>
      <c r="D91" s="804">
        <f t="shared" si="84"/>
        <v>0</v>
      </c>
      <c r="E91" s="804">
        <f t="shared" si="85"/>
        <v>0</v>
      </c>
      <c r="F91" s="1043">
        <f t="shared" si="86"/>
        <v>0</v>
      </c>
      <c r="G91" s="804"/>
      <c r="H91" s="600"/>
      <c r="I91" s="804">
        <f t="shared" si="76"/>
        <v>0</v>
      </c>
      <c r="J91" s="600"/>
      <c r="K91" s="600"/>
      <c r="L91" s="804">
        <f t="shared" si="77"/>
        <v>0</v>
      </c>
      <c r="M91" s="600"/>
      <c r="N91" s="600"/>
      <c r="O91" s="804">
        <f t="shared" si="78"/>
        <v>0</v>
      </c>
      <c r="P91" s="600"/>
      <c r="Q91" s="600"/>
      <c r="R91" s="600"/>
      <c r="S91" s="600"/>
      <c r="T91" s="600"/>
      <c r="U91" s="600"/>
      <c r="V91" s="600"/>
      <c r="W91" s="600"/>
      <c r="X91" s="804">
        <f t="shared" si="79"/>
        <v>0</v>
      </c>
      <c r="Y91" s="600"/>
      <c r="Z91" s="600"/>
      <c r="AA91" s="804">
        <f t="shared" si="80"/>
        <v>0</v>
      </c>
      <c r="AB91" s="600"/>
      <c r="AC91" s="600"/>
      <c r="AD91" s="804">
        <f t="shared" si="81"/>
        <v>0</v>
      </c>
      <c r="AE91" s="600"/>
      <c r="AF91" s="600"/>
      <c r="AG91" s="1043">
        <f t="shared" si="82"/>
        <v>0</v>
      </c>
    </row>
    <row r="92" spans="1:33" ht="12.95" hidden="1" customHeight="1" x14ac:dyDescent="0.25">
      <c r="A92" s="88" t="s">
        <v>133</v>
      </c>
      <c r="B92" s="1256" t="s">
        <v>159</v>
      </c>
      <c r="C92" s="1257"/>
      <c r="D92" s="804">
        <f t="shared" si="84"/>
        <v>0</v>
      </c>
      <c r="E92" s="804">
        <f t="shared" si="85"/>
        <v>0</v>
      </c>
      <c r="F92" s="1043">
        <f t="shared" si="86"/>
        <v>0</v>
      </c>
      <c r="G92" s="600"/>
      <c r="H92" s="600"/>
      <c r="I92" s="804">
        <f t="shared" si="76"/>
        <v>0</v>
      </c>
      <c r="J92" s="600"/>
      <c r="K92" s="600"/>
      <c r="L92" s="804">
        <f t="shared" si="77"/>
        <v>0</v>
      </c>
      <c r="M92" s="600"/>
      <c r="N92" s="600"/>
      <c r="O92" s="804">
        <f t="shared" si="78"/>
        <v>0</v>
      </c>
      <c r="P92" s="600"/>
      <c r="Q92" s="600"/>
      <c r="R92" s="600"/>
      <c r="S92" s="600"/>
      <c r="T92" s="600"/>
      <c r="U92" s="600"/>
      <c r="V92" s="600"/>
      <c r="W92" s="600"/>
      <c r="X92" s="804">
        <f t="shared" si="79"/>
        <v>0</v>
      </c>
      <c r="Y92" s="600"/>
      <c r="Z92" s="600"/>
      <c r="AA92" s="804">
        <f t="shared" si="80"/>
        <v>0</v>
      </c>
      <c r="AB92" s="600"/>
      <c r="AC92" s="600"/>
      <c r="AD92" s="804">
        <f t="shared" si="81"/>
        <v>0</v>
      </c>
      <c r="AE92" s="600"/>
      <c r="AF92" s="600"/>
      <c r="AG92" s="1043">
        <f t="shared" si="82"/>
        <v>0</v>
      </c>
    </row>
    <row r="93" spans="1:33" s="1151" customFormat="1" ht="12.95" hidden="1" customHeight="1" x14ac:dyDescent="0.2">
      <c r="A93" s="504" t="s">
        <v>134</v>
      </c>
      <c r="B93" s="1351" t="s">
        <v>158</v>
      </c>
      <c r="C93" s="1352"/>
      <c r="D93" s="804">
        <f t="shared" si="84"/>
        <v>0</v>
      </c>
      <c r="E93" s="804">
        <f t="shared" si="85"/>
        <v>0</v>
      </c>
      <c r="F93" s="1043">
        <f t="shared" si="86"/>
        <v>0</v>
      </c>
      <c r="G93" s="804"/>
      <c r="H93" s="804"/>
      <c r="I93" s="804">
        <f t="shared" si="76"/>
        <v>0</v>
      </c>
      <c r="J93" s="804"/>
      <c r="K93" s="804"/>
      <c r="L93" s="804">
        <f t="shared" si="77"/>
        <v>0</v>
      </c>
      <c r="M93" s="804"/>
      <c r="N93" s="804"/>
      <c r="O93" s="804">
        <f t="shared" si="78"/>
        <v>0</v>
      </c>
      <c r="P93" s="804"/>
      <c r="Q93" s="804"/>
      <c r="R93" s="804"/>
      <c r="S93" s="804"/>
      <c r="T93" s="804"/>
      <c r="U93" s="804"/>
      <c r="V93" s="804"/>
      <c r="W93" s="804"/>
      <c r="X93" s="804">
        <f t="shared" si="79"/>
        <v>0</v>
      </c>
      <c r="Y93" s="804"/>
      <c r="Z93" s="804"/>
      <c r="AA93" s="804">
        <f t="shared" si="80"/>
        <v>0</v>
      </c>
      <c r="AB93" s="804"/>
      <c r="AC93" s="804"/>
      <c r="AD93" s="804">
        <f t="shared" si="81"/>
        <v>0</v>
      </c>
      <c r="AE93" s="804"/>
      <c r="AF93" s="804"/>
      <c r="AG93" s="1043">
        <f t="shared" si="82"/>
        <v>0</v>
      </c>
    </row>
    <row r="94" spans="1:33" ht="12.95" customHeight="1" x14ac:dyDescent="0.25">
      <c r="A94" s="504"/>
      <c r="B94" s="1134"/>
      <c r="C94" s="1135"/>
      <c r="D94" s="804"/>
      <c r="E94" s="804"/>
      <c r="F94" s="1043"/>
      <c r="H94" s="600"/>
      <c r="I94" s="804"/>
      <c r="J94" s="600"/>
      <c r="K94" s="600"/>
      <c r="L94" s="804">
        <f t="shared" si="77"/>
        <v>0</v>
      </c>
      <c r="M94" s="600"/>
      <c r="N94" s="600"/>
      <c r="O94" s="804">
        <f t="shared" si="78"/>
        <v>0</v>
      </c>
      <c r="P94" s="600"/>
      <c r="Q94" s="600"/>
      <c r="R94" s="600"/>
      <c r="S94" s="600"/>
      <c r="T94" s="600"/>
      <c r="U94" s="600"/>
      <c r="V94" s="600"/>
      <c r="W94" s="600"/>
      <c r="X94" s="804">
        <f t="shared" si="79"/>
        <v>0</v>
      </c>
      <c r="Y94" s="600"/>
      <c r="Z94" s="600"/>
      <c r="AA94" s="804">
        <f t="shared" si="80"/>
        <v>0</v>
      </c>
      <c r="AB94" s="600"/>
      <c r="AC94" s="600"/>
      <c r="AD94" s="804">
        <f t="shared" si="81"/>
        <v>0</v>
      </c>
      <c r="AE94" s="600"/>
      <c r="AF94" s="600"/>
      <c r="AG94" s="1043">
        <f t="shared" si="82"/>
        <v>0</v>
      </c>
    </row>
    <row r="95" spans="1:33" s="1151" customFormat="1" ht="12.95" customHeight="1" x14ac:dyDescent="0.2">
      <c r="A95" s="705" t="s">
        <v>135</v>
      </c>
      <c r="B95" s="1240" t="s">
        <v>157</v>
      </c>
      <c r="C95" s="1225"/>
      <c r="D95" s="965">
        <f>+G95+M95+P95+S95+V95+AE95+J95+Y95+AB95</f>
        <v>456314</v>
      </c>
      <c r="E95" s="703">
        <f>+H95+N95+Q95+T95+W95+AF95+K95+Z95+AC95</f>
        <v>-20416</v>
      </c>
      <c r="F95" s="1042">
        <f>+I95+O95+R95+U95+X95+AG95+L95+AA95+AD95</f>
        <v>435898</v>
      </c>
      <c r="G95" s="703">
        <f>+G93+G88+G82+G72+G55+G35+G9+G7</f>
        <v>18579</v>
      </c>
      <c r="H95" s="703">
        <f>+H93+H88+H82+H72+H55+H35+H9+H7</f>
        <v>13056</v>
      </c>
      <c r="I95" s="703">
        <f>+H95+G95</f>
        <v>31635</v>
      </c>
      <c r="J95" s="703">
        <f>+J93+J88+J82+J72+J55+J35+J9+J7</f>
        <v>70916</v>
      </c>
      <c r="K95" s="703">
        <f>+K93+K88+K82+K72+K55+K35+K9+K7</f>
        <v>0</v>
      </c>
      <c r="L95" s="703">
        <f t="shared" si="77"/>
        <v>70916</v>
      </c>
      <c r="M95" s="965">
        <f>+M93+M88+M82+M72+M55+M35+M9+M7</f>
        <v>23283</v>
      </c>
      <c r="N95" s="703">
        <f>+N93+N88+N82+N72+N55+N35+N9+N7</f>
        <v>0</v>
      </c>
      <c r="O95" s="703">
        <f t="shared" si="78"/>
        <v>23283</v>
      </c>
      <c r="P95" s="703">
        <f t="shared" ref="P95:W95" si="116">+P93+P88+P82+P72+P55+P35+P9+P7</f>
        <v>3315</v>
      </c>
      <c r="Q95" s="703">
        <f t="shared" si="116"/>
        <v>136</v>
      </c>
      <c r="R95" s="703">
        <f t="shared" si="116"/>
        <v>3451</v>
      </c>
      <c r="S95" s="703">
        <f t="shared" si="116"/>
        <v>1413</v>
      </c>
      <c r="T95" s="703">
        <f t="shared" si="116"/>
        <v>0</v>
      </c>
      <c r="U95" s="703">
        <f t="shared" si="116"/>
        <v>1413</v>
      </c>
      <c r="V95" s="965">
        <f t="shared" si="116"/>
        <v>0</v>
      </c>
      <c r="W95" s="703">
        <f t="shared" si="116"/>
        <v>0</v>
      </c>
      <c r="X95" s="703">
        <f t="shared" si="79"/>
        <v>0</v>
      </c>
      <c r="Y95" s="965">
        <f>+Y93+Y88+Y82+Y72+Y55+Y35+Y9+Y7</f>
        <v>7803</v>
      </c>
      <c r="Z95" s="703">
        <f>+Z93+Z88+Z82+Z72+Z55+Z35+Z9+Z7</f>
        <v>0</v>
      </c>
      <c r="AA95" s="703">
        <f t="shared" si="80"/>
        <v>7803</v>
      </c>
      <c r="AB95" s="965">
        <f>+AB93+AB88+AB82+AB72+AB55+AB35+AB9+AB7</f>
        <v>3490</v>
      </c>
      <c r="AC95" s="703">
        <f>+AC93+AC88+AC82+AC72+AC55+AC35+AC9+AC7</f>
        <v>2000</v>
      </c>
      <c r="AD95" s="703">
        <f t="shared" si="81"/>
        <v>5490</v>
      </c>
      <c r="AE95" s="965">
        <f>+AE93+AE88+AE82+AE72+AE55+AE35+AE9+AE7</f>
        <v>327515</v>
      </c>
      <c r="AF95" s="703">
        <f>+AF93+AF88+AF82+AF72+AF55+AF35+AF9+AF7</f>
        <v>-35608</v>
      </c>
      <c r="AG95" s="1042">
        <f t="shared" si="82"/>
        <v>291907</v>
      </c>
    </row>
    <row r="96" spans="1:33" ht="12.95" customHeight="1" x14ac:dyDescent="0.25">
      <c r="A96" s="1174"/>
      <c r="C96" s="1124"/>
      <c r="D96" s="804"/>
      <c r="E96" s="804"/>
      <c r="F96" s="1043"/>
      <c r="I96" s="804"/>
      <c r="L96" s="804"/>
      <c r="O96" s="804"/>
      <c r="X96" s="804"/>
      <c r="AA96" s="804"/>
      <c r="AD96" s="804"/>
      <c r="AG96" s="1043"/>
    </row>
    <row r="97" spans="1:33" s="1151" customFormat="1" ht="12.95" customHeight="1" x14ac:dyDescent="0.2">
      <c r="A97" s="743" t="s">
        <v>267</v>
      </c>
      <c r="B97" s="1353" t="s">
        <v>266</v>
      </c>
      <c r="C97" s="1354"/>
      <c r="D97" s="965">
        <f t="shared" ref="D97:F101" si="117">+G97+M97+P97+S97+V97+AE97+J97+Y97+AB97</f>
        <v>0</v>
      </c>
      <c r="E97" s="703">
        <f t="shared" si="117"/>
        <v>0</v>
      </c>
      <c r="F97" s="1042">
        <f t="shared" si="117"/>
        <v>0</v>
      </c>
      <c r="G97" s="1125"/>
      <c r="H97" s="806"/>
      <c r="I97" s="703">
        <f t="shared" si="76"/>
        <v>0</v>
      </c>
      <c r="J97" s="806"/>
      <c r="K97" s="806"/>
      <c r="L97" s="703">
        <f t="shared" si="77"/>
        <v>0</v>
      </c>
      <c r="M97" s="806"/>
      <c r="N97" s="806"/>
      <c r="O97" s="703">
        <f t="shared" si="78"/>
        <v>0</v>
      </c>
      <c r="P97" s="806"/>
      <c r="Q97" s="806"/>
      <c r="R97" s="806"/>
      <c r="S97" s="806"/>
      <c r="T97" s="806"/>
      <c r="U97" s="806"/>
      <c r="V97" s="806"/>
      <c r="W97" s="806"/>
      <c r="X97" s="703"/>
      <c r="Y97" s="806"/>
      <c r="Z97" s="806"/>
      <c r="AA97" s="703">
        <f t="shared" si="80"/>
        <v>0</v>
      </c>
      <c r="AB97" s="806"/>
      <c r="AC97" s="806"/>
      <c r="AD97" s="703">
        <f t="shared" si="81"/>
        <v>0</v>
      </c>
      <c r="AE97" s="806"/>
      <c r="AF97" s="806"/>
      <c r="AG97" s="1042"/>
    </row>
    <row r="98" spans="1:33" s="1151" customFormat="1" ht="12.95" customHeight="1" x14ac:dyDescent="0.2">
      <c r="A98" s="743" t="s">
        <v>730</v>
      </c>
      <c r="B98" s="1353" t="s">
        <v>731</v>
      </c>
      <c r="C98" s="1354"/>
      <c r="D98" s="965">
        <f t="shared" si="117"/>
        <v>0</v>
      </c>
      <c r="E98" s="703">
        <f t="shared" si="117"/>
        <v>0</v>
      </c>
      <c r="F98" s="1042">
        <f t="shared" si="117"/>
        <v>0</v>
      </c>
      <c r="G98" s="1125"/>
      <c r="H98" s="806"/>
      <c r="I98" s="703">
        <f t="shared" si="76"/>
        <v>0</v>
      </c>
      <c r="J98" s="806"/>
      <c r="K98" s="806"/>
      <c r="L98" s="703">
        <f t="shared" si="77"/>
        <v>0</v>
      </c>
      <c r="M98" s="806"/>
      <c r="N98" s="806"/>
      <c r="O98" s="703">
        <f t="shared" si="78"/>
        <v>0</v>
      </c>
      <c r="P98" s="806"/>
      <c r="Q98" s="806"/>
      <c r="R98" s="806"/>
      <c r="S98" s="806"/>
      <c r="T98" s="806"/>
      <c r="U98" s="806"/>
      <c r="V98" s="806"/>
      <c r="W98" s="806"/>
      <c r="X98" s="703">
        <f t="shared" si="79"/>
        <v>0</v>
      </c>
      <c r="Y98" s="806"/>
      <c r="Z98" s="806"/>
      <c r="AA98" s="703">
        <f t="shared" si="80"/>
        <v>0</v>
      </c>
      <c r="AB98" s="806"/>
      <c r="AC98" s="806"/>
      <c r="AD98" s="703">
        <f t="shared" si="81"/>
        <v>0</v>
      </c>
      <c r="AE98" s="806"/>
      <c r="AF98" s="806"/>
      <c r="AG98" s="1042">
        <f t="shared" si="82"/>
        <v>0</v>
      </c>
    </row>
    <row r="99" spans="1:33" s="1151" customFormat="1" ht="12.95" customHeight="1" x14ac:dyDescent="0.2">
      <c r="A99" s="743" t="s">
        <v>728</v>
      </c>
      <c r="B99" s="1353" t="s">
        <v>729</v>
      </c>
      <c r="C99" s="1354"/>
      <c r="D99" s="965">
        <f t="shared" si="117"/>
        <v>21745</v>
      </c>
      <c r="E99" s="703">
        <f t="shared" si="117"/>
        <v>0</v>
      </c>
      <c r="F99" s="1042">
        <f t="shared" si="117"/>
        <v>21745</v>
      </c>
      <c r="G99" s="1125"/>
      <c r="H99" s="806"/>
      <c r="I99" s="703">
        <f t="shared" si="76"/>
        <v>0</v>
      </c>
      <c r="J99" s="806"/>
      <c r="K99" s="806"/>
      <c r="L99" s="703">
        <f t="shared" si="77"/>
        <v>0</v>
      </c>
      <c r="M99" s="806"/>
      <c r="N99" s="806"/>
      <c r="O99" s="703">
        <f t="shared" si="78"/>
        <v>0</v>
      </c>
      <c r="P99" s="806"/>
      <c r="Q99" s="806"/>
      <c r="R99" s="806"/>
      <c r="S99" s="806"/>
      <c r="T99" s="806"/>
      <c r="U99" s="806"/>
      <c r="V99" s="806"/>
      <c r="W99" s="806"/>
      <c r="X99" s="703">
        <f t="shared" si="79"/>
        <v>0</v>
      </c>
      <c r="Y99" s="806"/>
      <c r="Z99" s="806"/>
      <c r="AA99" s="703">
        <f t="shared" si="80"/>
        <v>0</v>
      </c>
      <c r="AB99" s="806"/>
      <c r="AC99" s="806"/>
      <c r="AD99" s="703">
        <f t="shared" si="81"/>
        <v>0</v>
      </c>
      <c r="AE99" s="806">
        <v>21745</v>
      </c>
      <c r="AF99" s="806"/>
      <c r="AG99" s="1042">
        <f t="shared" si="82"/>
        <v>21745</v>
      </c>
    </row>
    <row r="100" spans="1:33" s="1151" customFormat="1" ht="12.95" customHeight="1" x14ac:dyDescent="0.2">
      <c r="A100" s="743" t="s">
        <v>368</v>
      </c>
      <c r="B100" s="1353" t="s">
        <v>369</v>
      </c>
      <c r="C100" s="1354"/>
      <c r="D100" s="965">
        <f t="shared" si="117"/>
        <v>437802</v>
      </c>
      <c r="E100" s="703">
        <f t="shared" si="117"/>
        <v>426</v>
      </c>
      <c r="F100" s="1042">
        <f t="shared" si="117"/>
        <v>438228</v>
      </c>
      <c r="G100" s="1125"/>
      <c r="H100" s="806"/>
      <c r="I100" s="703">
        <f t="shared" si="76"/>
        <v>0</v>
      </c>
      <c r="J100" s="806"/>
      <c r="K100" s="806"/>
      <c r="L100" s="703">
        <f t="shared" si="77"/>
        <v>0</v>
      </c>
      <c r="M100" s="806"/>
      <c r="N100" s="806"/>
      <c r="O100" s="703">
        <f t="shared" si="78"/>
        <v>0</v>
      </c>
      <c r="P100" s="806"/>
      <c r="Q100" s="806"/>
      <c r="R100" s="806"/>
      <c r="S100" s="806"/>
      <c r="T100" s="806"/>
      <c r="U100" s="806"/>
      <c r="V100" s="806"/>
      <c r="W100" s="806"/>
      <c r="X100" s="703">
        <f t="shared" si="79"/>
        <v>0</v>
      </c>
      <c r="Y100" s="806"/>
      <c r="Z100" s="806"/>
      <c r="AA100" s="703">
        <f t="shared" si="80"/>
        <v>0</v>
      </c>
      <c r="AB100" s="806"/>
      <c r="AC100" s="806"/>
      <c r="AD100" s="703">
        <f t="shared" si="81"/>
        <v>0</v>
      </c>
      <c r="AE100" s="703">
        <f>+'6.mell Int.összesen'!D47</f>
        <v>437802</v>
      </c>
      <c r="AF100" s="703">
        <f>+'6.mell Int.összesen'!E47</f>
        <v>426</v>
      </c>
      <c r="AG100" s="1042">
        <f t="shared" si="82"/>
        <v>438228</v>
      </c>
    </row>
    <row r="101" spans="1:33" s="1151" customFormat="1" ht="12.95" customHeight="1" thickBot="1" x14ac:dyDescent="0.25">
      <c r="A101" s="744" t="s">
        <v>268</v>
      </c>
      <c r="B101" s="745" t="s">
        <v>274</v>
      </c>
      <c r="C101" s="1126"/>
      <c r="D101" s="1072">
        <f t="shared" si="117"/>
        <v>459547</v>
      </c>
      <c r="E101" s="709">
        <f t="shared" si="117"/>
        <v>426</v>
      </c>
      <c r="F101" s="1044">
        <f t="shared" si="117"/>
        <v>459973</v>
      </c>
      <c r="G101" s="1127"/>
      <c r="H101" s="807"/>
      <c r="I101" s="709">
        <f t="shared" si="76"/>
        <v>0</v>
      </c>
      <c r="J101" s="807"/>
      <c r="K101" s="807"/>
      <c r="L101" s="709">
        <f t="shared" si="77"/>
        <v>0</v>
      </c>
      <c r="M101" s="807"/>
      <c r="N101" s="807"/>
      <c r="O101" s="709">
        <f t="shared" si="78"/>
        <v>0</v>
      </c>
      <c r="P101" s="807">
        <f t="shared" ref="P101:Z101" si="118">+P100+P97</f>
        <v>0</v>
      </c>
      <c r="Q101" s="807">
        <f t="shared" si="118"/>
        <v>0</v>
      </c>
      <c r="R101" s="807">
        <f t="shared" si="118"/>
        <v>0</v>
      </c>
      <c r="S101" s="807">
        <f t="shared" si="118"/>
        <v>0</v>
      </c>
      <c r="T101" s="807">
        <f t="shared" si="118"/>
        <v>0</v>
      </c>
      <c r="U101" s="807">
        <f t="shared" si="118"/>
        <v>0</v>
      </c>
      <c r="V101" s="807">
        <f t="shared" si="118"/>
        <v>0</v>
      </c>
      <c r="W101" s="807">
        <f t="shared" si="118"/>
        <v>0</v>
      </c>
      <c r="X101" s="709">
        <f t="shared" si="79"/>
        <v>0</v>
      </c>
      <c r="Y101" s="807">
        <f t="shared" si="118"/>
        <v>0</v>
      </c>
      <c r="Z101" s="807">
        <f t="shared" si="118"/>
        <v>0</v>
      </c>
      <c r="AA101" s="709">
        <f t="shared" si="80"/>
        <v>0</v>
      </c>
      <c r="AB101" s="807"/>
      <c r="AC101" s="807"/>
      <c r="AD101" s="709">
        <f t="shared" si="81"/>
        <v>0</v>
      </c>
      <c r="AE101" s="709">
        <f>+AE100+AE97+AE98+AE99</f>
        <v>459547</v>
      </c>
      <c r="AF101" s="807">
        <f>+AF100+AF97+AF98+AF99</f>
        <v>426</v>
      </c>
      <c r="AG101" s="1044">
        <f t="shared" ref="AG101" si="119">+AG100+AG97+AG98+AG99</f>
        <v>459973</v>
      </c>
    </row>
  </sheetData>
  <mergeCells count="91">
    <mergeCell ref="B100:C100"/>
    <mergeCell ref="B90:C90"/>
    <mergeCell ref="B95:C95"/>
    <mergeCell ref="B97:C97"/>
    <mergeCell ref="B91:C91"/>
    <mergeCell ref="B99:C99"/>
    <mergeCell ref="B98:C98"/>
    <mergeCell ref="B22:C22"/>
    <mergeCell ref="B77:C77"/>
    <mergeCell ref="B60:C60"/>
    <mergeCell ref="B61:C61"/>
    <mergeCell ref="B62:C62"/>
    <mergeCell ref="B72:C72"/>
    <mergeCell ref="B74:C74"/>
    <mergeCell ref="B75:C75"/>
    <mergeCell ref="B57:C57"/>
    <mergeCell ref="B28:C28"/>
    <mergeCell ref="B29:C29"/>
    <mergeCell ref="B30:C30"/>
    <mergeCell ref="B31:C31"/>
    <mergeCell ref="B40:C40"/>
    <mergeCell ref="B41:C41"/>
    <mergeCell ref="B58:C58"/>
    <mergeCell ref="B21:C21"/>
    <mergeCell ref="B37:C37"/>
    <mergeCell ref="B88:C88"/>
    <mergeCell ref="B92:C92"/>
    <mergeCell ref="B93:C93"/>
    <mergeCell ref="B78:C78"/>
    <mergeCell ref="B79:C79"/>
    <mergeCell ref="B80:C80"/>
    <mergeCell ref="B81:C81"/>
    <mergeCell ref="B82:C82"/>
    <mergeCell ref="B84:C84"/>
    <mergeCell ref="B85:C85"/>
    <mergeCell ref="B86:C86"/>
    <mergeCell ref="B87:C87"/>
    <mergeCell ref="B55:C55"/>
    <mergeCell ref="B56:C56"/>
    <mergeCell ref="B59:C59"/>
    <mergeCell ref="B38:C38"/>
    <mergeCell ref="B26:C26"/>
    <mergeCell ref="B23:C23"/>
    <mergeCell ref="B24:C24"/>
    <mergeCell ref="B33:C33"/>
    <mergeCell ref="B34:C34"/>
    <mergeCell ref="B35:C35"/>
    <mergeCell ref="B50:C50"/>
    <mergeCell ref="B44:C44"/>
    <mergeCell ref="B46:C46"/>
    <mergeCell ref="B48:C48"/>
    <mergeCell ref="B27:C27"/>
    <mergeCell ref="B25:C25"/>
    <mergeCell ref="B32:C32"/>
    <mergeCell ref="B12:C12"/>
    <mergeCell ref="B14:C14"/>
    <mergeCell ref="B15:C15"/>
    <mergeCell ref="S3:U3"/>
    <mergeCell ref="V3:X3"/>
    <mergeCell ref="B2:C4"/>
    <mergeCell ref="P2:R2"/>
    <mergeCell ref="P3:R3"/>
    <mergeCell ref="S2:U2"/>
    <mergeCell ref="V2:X2"/>
    <mergeCell ref="B5:C5"/>
    <mergeCell ref="B6:C6"/>
    <mergeCell ref="B7:C7"/>
    <mergeCell ref="J2:L2"/>
    <mergeCell ref="B9:C9"/>
    <mergeCell ref="B11:C11"/>
    <mergeCell ref="B19:C19"/>
    <mergeCell ref="B20:C20"/>
    <mergeCell ref="B16:C16"/>
    <mergeCell ref="B17:C17"/>
    <mergeCell ref="B13:C13"/>
    <mergeCell ref="B18:C18"/>
    <mergeCell ref="AE3:AG3"/>
    <mergeCell ref="AB3:AD3"/>
    <mergeCell ref="A1:AG1"/>
    <mergeCell ref="G2:I2"/>
    <mergeCell ref="M2:O2"/>
    <mergeCell ref="G3:I3"/>
    <mergeCell ref="M3:O3"/>
    <mergeCell ref="AE2:AG2"/>
    <mergeCell ref="D2:F2"/>
    <mergeCell ref="D3:F3"/>
    <mergeCell ref="A2:A4"/>
    <mergeCell ref="J3:L3"/>
    <mergeCell ref="Y2:AA2"/>
    <mergeCell ref="Y3:AA3"/>
    <mergeCell ref="AB2:AD2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1" orientation="landscape" r:id="rId1"/>
  <headerFooter>
    <oddHeader>&amp;C&amp;"Times New Roman,Félkövér"&amp;12Martonvásár Város Önkormányzatának kiadásai 2021.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pane xSplit="3" ySplit="3" topLeftCell="D4" activePane="bottomRight" state="frozen"/>
      <selection activeCell="B40" sqref="B40"/>
      <selection pane="topRight" activeCell="B40" sqref="B40"/>
      <selection pane="bottomLeft" activeCell="B40" sqref="B40"/>
      <selection pane="bottomRight" activeCell="K42" sqref="K42"/>
    </sheetView>
  </sheetViews>
  <sheetFormatPr defaultRowHeight="15" x14ac:dyDescent="0.25"/>
  <cols>
    <col min="1" max="1" width="6.85546875" style="1144" customWidth="1"/>
    <col min="2" max="2" width="5" style="1144" customWidth="1"/>
    <col min="3" max="3" width="37" style="1144" customWidth="1"/>
    <col min="4" max="12" width="9.140625" style="1144"/>
    <col min="13" max="15" width="0" style="1144" hidden="1" customWidth="1"/>
    <col min="16" max="16384" width="9.140625" style="1144"/>
  </cols>
  <sheetData>
    <row r="2" spans="1:15" ht="29.25" customHeight="1" x14ac:dyDescent="0.25">
      <c r="A2" s="1376" t="s">
        <v>0</v>
      </c>
      <c r="B2" s="1396" t="s">
        <v>279</v>
      </c>
      <c r="C2" s="1397"/>
      <c r="D2" s="1365" t="s">
        <v>297</v>
      </c>
      <c r="E2" s="1366"/>
      <c r="F2" s="1367"/>
      <c r="G2" s="1365" t="s">
        <v>288</v>
      </c>
      <c r="H2" s="1366"/>
      <c r="I2" s="1367"/>
      <c r="J2" s="1365" t="s">
        <v>289</v>
      </c>
      <c r="K2" s="1366"/>
      <c r="L2" s="1367"/>
      <c r="M2" s="1365" t="s">
        <v>290</v>
      </c>
      <c r="N2" s="1366"/>
      <c r="O2" s="1367"/>
    </row>
    <row r="3" spans="1:15" ht="25.5" x14ac:dyDescent="0.25">
      <c r="A3" s="1377"/>
      <c r="B3" s="1398"/>
      <c r="C3" s="1399"/>
      <c r="D3" s="1128" t="s">
        <v>944</v>
      </c>
      <c r="E3" s="1128" t="s">
        <v>684</v>
      </c>
      <c r="F3" s="1128" t="s">
        <v>941</v>
      </c>
      <c r="G3" s="1128" t="s">
        <v>944</v>
      </c>
      <c r="H3" s="1128" t="s">
        <v>684</v>
      </c>
      <c r="I3" s="1128" t="s">
        <v>941</v>
      </c>
      <c r="J3" s="1128" t="s">
        <v>944</v>
      </c>
      <c r="K3" s="1128" t="s">
        <v>684</v>
      </c>
      <c r="L3" s="1128" t="s">
        <v>941</v>
      </c>
      <c r="M3" s="1128" t="s">
        <v>177</v>
      </c>
      <c r="N3" s="1128" t="s">
        <v>684</v>
      </c>
      <c r="O3" s="1128" t="s">
        <v>685</v>
      </c>
    </row>
    <row r="4" spans="1:15" s="571" customFormat="1" ht="24" customHeight="1" x14ac:dyDescent="0.25">
      <c r="A4" s="325" t="s">
        <v>205</v>
      </c>
      <c r="B4" s="1384" t="s">
        <v>204</v>
      </c>
      <c r="C4" s="1385"/>
      <c r="D4" s="1136">
        <f t="shared" ref="D4:D49" si="0">+G4+J4+M4</f>
        <v>0</v>
      </c>
      <c r="E4" s="1136">
        <f t="shared" ref="E4:E49" si="1">+H4+K4+N4</f>
        <v>0</v>
      </c>
      <c r="F4" s="1136">
        <f t="shared" ref="F4:F49" si="2">+I4+L4+O4</f>
        <v>0</v>
      </c>
      <c r="G4" s="1136"/>
      <c r="H4" s="1136"/>
      <c r="I4" s="1136">
        <f>+H4+G4</f>
        <v>0</v>
      </c>
      <c r="J4" s="1136">
        <f>SUM(J5:J14)</f>
        <v>0</v>
      </c>
      <c r="K4" s="1136"/>
      <c r="L4" s="1136">
        <f>+K4+J4</f>
        <v>0</v>
      </c>
      <c r="M4" s="1136">
        <f>SUM(M5:M14)</f>
        <v>0</v>
      </c>
      <c r="N4" s="1136"/>
      <c r="O4" s="1136">
        <f>+N4+M4</f>
        <v>0</v>
      </c>
    </row>
    <row r="5" spans="1:15" s="1176" customFormat="1" ht="14.45" hidden="1" customHeight="1" x14ac:dyDescent="0.25">
      <c r="A5" s="82"/>
      <c r="B5" s="1388" t="s">
        <v>329</v>
      </c>
      <c r="C5" s="1389"/>
      <c r="D5" s="1139">
        <f t="shared" si="0"/>
        <v>0</v>
      </c>
      <c r="E5" s="1137">
        <f t="shared" si="1"/>
        <v>0</v>
      </c>
      <c r="F5" s="1137">
        <f t="shared" si="2"/>
        <v>0</v>
      </c>
      <c r="G5" s="1137"/>
      <c r="H5" s="1137"/>
      <c r="I5" s="1137"/>
      <c r="J5" s="1137"/>
      <c r="K5" s="1137"/>
      <c r="L5" s="1137">
        <f t="shared" ref="L5:L49" si="3">+K5+J5</f>
        <v>0</v>
      </c>
      <c r="M5" s="1137"/>
      <c r="N5" s="1137"/>
      <c r="O5" s="1139">
        <f t="shared" ref="O5:O41" si="4">+N5+M5</f>
        <v>0</v>
      </c>
    </row>
    <row r="6" spans="1:15" s="1176" customFormat="1" ht="14.45" hidden="1" customHeight="1" x14ac:dyDescent="0.25">
      <c r="A6" s="82"/>
      <c r="B6" s="1388" t="s">
        <v>319</v>
      </c>
      <c r="C6" s="1389"/>
      <c r="D6" s="1139">
        <f t="shared" si="0"/>
        <v>0</v>
      </c>
      <c r="E6" s="1137">
        <f t="shared" si="1"/>
        <v>0</v>
      </c>
      <c r="F6" s="1137">
        <f t="shared" si="2"/>
        <v>0</v>
      </c>
      <c r="G6" s="1137"/>
      <c r="H6" s="1137"/>
      <c r="I6" s="1137"/>
      <c r="J6" s="1137"/>
      <c r="K6" s="1137"/>
      <c r="L6" s="1137">
        <f t="shared" si="3"/>
        <v>0</v>
      </c>
      <c r="M6" s="1137"/>
      <c r="N6" s="1137"/>
      <c r="O6" s="1139">
        <f t="shared" si="4"/>
        <v>0</v>
      </c>
    </row>
    <row r="7" spans="1:15" s="1176" customFormat="1" ht="14.45" hidden="1" customHeight="1" x14ac:dyDescent="0.25">
      <c r="A7" s="82"/>
      <c r="B7" s="1388" t="s">
        <v>320</v>
      </c>
      <c r="C7" s="1389"/>
      <c r="D7" s="1139">
        <f t="shared" si="0"/>
        <v>0</v>
      </c>
      <c r="E7" s="1137">
        <f t="shared" si="1"/>
        <v>0</v>
      </c>
      <c r="F7" s="1137">
        <f t="shared" si="2"/>
        <v>0</v>
      </c>
      <c r="G7" s="1137"/>
      <c r="H7" s="1137"/>
      <c r="I7" s="1137"/>
      <c r="J7" s="1137"/>
      <c r="K7" s="1137"/>
      <c r="L7" s="1137">
        <f t="shared" si="3"/>
        <v>0</v>
      </c>
      <c r="M7" s="1137"/>
      <c r="N7" s="1137"/>
      <c r="O7" s="1139">
        <f t="shared" si="4"/>
        <v>0</v>
      </c>
    </row>
    <row r="8" spans="1:15" s="1176" customFormat="1" ht="14.45" hidden="1" customHeight="1" x14ac:dyDescent="0.25">
      <c r="A8" s="82"/>
      <c r="B8" s="1388" t="s">
        <v>321</v>
      </c>
      <c r="C8" s="1389"/>
      <c r="D8" s="1139">
        <f t="shared" si="0"/>
        <v>0</v>
      </c>
      <c r="E8" s="1137">
        <f t="shared" si="1"/>
        <v>0</v>
      </c>
      <c r="F8" s="1137">
        <f t="shared" si="2"/>
        <v>0</v>
      </c>
      <c r="G8" s="1137"/>
      <c r="H8" s="1137"/>
      <c r="I8" s="1137"/>
      <c r="J8" s="1137"/>
      <c r="K8" s="1137"/>
      <c r="L8" s="1137">
        <f t="shared" si="3"/>
        <v>0</v>
      </c>
      <c r="M8" s="1137"/>
      <c r="N8" s="1137"/>
      <c r="O8" s="1139">
        <f t="shared" si="4"/>
        <v>0</v>
      </c>
    </row>
    <row r="9" spans="1:15" s="1176" customFormat="1" ht="14.45" hidden="1" customHeight="1" x14ac:dyDescent="0.25">
      <c r="A9" s="82"/>
      <c r="B9" s="1388" t="s">
        <v>322</v>
      </c>
      <c r="C9" s="1389"/>
      <c r="D9" s="1139">
        <f t="shared" si="0"/>
        <v>0</v>
      </c>
      <c r="E9" s="1137">
        <f t="shared" si="1"/>
        <v>0</v>
      </c>
      <c r="F9" s="1137">
        <f t="shared" si="2"/>
        <v>0</v>
      </c>
      <c r="G9" s="1137"/>
      <c r="H9" s="1137"/>
      <c r="I9" s="1137"/>
      <c r="J9" s="1137"/>
      <c r="K9" s="1137"/>
      <c r="L9" s="1137">
        <f t="shared" si="3"/>
        <v>0</v>
      </c>
      <c r="M9" s="1137"/>
      <c r="N9" s="1137"/>
      <c r="O9" s="1139">
        <f t="shared" si="4"/>
        <v>0</v>
      </c>
    </row>
    <row r="10" spans="1:15" s="1176" customFormat="1" ht="14.45" hidden="1" customHeight="1" x14ac:dyDescent="0.25">
      <c r="A10" s="82"/>
      <c r="B10" s="1388" t="s">
        <v>323</v>
      </c>
      <c r="C10" s="1389"/>
      <c r="D10" s="1139">
        <f t="shared" si="0"/>
        <v>0</v>
      </c>
      <c r="E10" s="1137">
        <f t="shared" si="1"/>
        <v>0</v>
      </c>
      <c r="F10" s="1137">
        <f t="shared" si="2"/>
        <v>0</v>
      </c>
      <c r="G10" s="1137"/>
      <c r="H10" s="1137"/>
      <c r="I10" s="1137"/>
      <c r="J10" s="1137"/>
      <c r="K10" s="1137"/>
      <c r="L10" s="1137">
        <f t="shared" si="3"/>
        <v>0</v>
      </c>
      <c r="M10" s="1137"/>
      <c r="N10" s="1137"/>
      <c r="O10" s="1139">
        <f t="shared" si="4"/>
        <v>0</v>
      </c>
    </row>
    <row r="11" spans="1:15" s="1176" customFormat="1" ht="14.45" hidden="1" customHeight="1" x14ac:dyDescent="0.25">
      <c r="A11" s="82"/>
      <c r="B11" s="1388" t="s">
        <v>99</v>
      </c>
      <c r="C11" s="1389"/>
      <c r="D11" s="1139">
        <f t="shared" si="0"/>
        <v>0</v>
      </c>
      <c r="E11" s="1137">
        <f t="shared" si="1"/>
        <v>0</v>
      </c>
      <c r="F11" s="1137">
        <f t="shared" si="2"/>
        <v>0</v>
      </c>
      <c r="G11" s="1137"/>
      <c r="H11" s="1137"/>
      <c r="I11" s="1137"/>
      <c r="J11" s="1137"/>
      <c r="K11" s="1137"/>
      <c r="L11" s="1137">
        <f t="shared" si="3"/>
        <v>0</v>
      </c>
      <c r="M11" s="1137"/>
      <c r="N11" s="1137"/>
      <c r="O11" s="1139">
        <f t="shared" si="4"/>
        <v>0</v>
      </c>
    </row>
    <row r="12" spans="1:15" s="1176" customFormat="1" ht="14.45" hidden="1" customHeight="1" x14ac:dyDescent="0.25">
      <c r="A12" s="82"/>
      <c r="B12" s="1388" t="s">
        <v>100</v>
      </c>
      <c r="C12" s="1389"/>
      <c r="D12" s="1139">
        <f t="shared" si="0"/>
        <v>0</v>
      </c>
      <c r="E12" s="1137">
        <f t="shared" si="1"/>
        <v>0</v>
      </c>
      <c r="F12" s="1137">
        <f t="shared" si="2"/>
        <v>0</v>
      </c>
      <c r="G12" s="1137"/>
      <c r="H12" s="1137"/>
      <c r="I12" s="1137"/>
      <c r="J12" s="1137"/>
      <c r="K12" s="1137"/>
      <c r="L12" s="1137">
        <f t="shared" si="3"/>
        <v>0</v>
      </c>
      <c r="M12" s="1137"/>
      <c r="N12" s="1137"/>
      <c r="O12" s="1139">
        <f t="shared" si="4"/>
        <v>0</v>
      </c>
    </row>
    <row r="13" spans="1:15" s="1176" customFormat="1" ht="14.45" hidden="1" customHeight="1" x14ac:dyDescent="0.25">
      <c r="A13" s="82"/>
      <c r="B13" s="1388" t="s">
        <v>324</v>
      </c>
      <c r="C13" s="1389"/>
      <c r="D13" s="1139">
        <f t="shared" si="0"/>
        <v>0</v>
      </c>
      <c r="E13" s="1137">
        <f t="shared" si="1"/>
        <v>0</v>
      </c>
      <c r="F13" s="1137">
        <f t="shared" si="2"/>
        <v>0</v>
      </c>
      <c r="G13" s="1137"/>
      <c r="H13" s="1137"/>
      <c r="I13" s="1137"/>
      <c r="J13" s="1137"/>
      <c r="K13" s="1137"/>
      <c r="L13" s="1137">
        <f t="shared" si="3"/>
        <v>0</v>
      </c>
      <c r="M13" s="1137"/>
      <c r="N13" s="1137"/>
      <c r="O13" s="1139">
        <f t="shared" si="4"/>
        <v>0</v>
      </c>
    </row>
    <row r="14" spans="1:15" s="1176" customFormat="1" ht="14.45" hidden="1" customHeight="1" x14ac:dyDescent="0.25">
      <c r="A14" s="82"/>
      <c r="B14" s="1388" t="s">
        <v>325</v>
      </c>
      <c r="C14" s="1389"/>
      <c r="D14" s="1139">
        <f t="shared" si="0"/>
        <v>0</v>
      </c>
      <c r="E14" s="1137">
        <f t="shared" si="1"/>
        <v>0</v>
      </c>
      <c r="F14" s="1137">
        <f t="shared" si="2"/>
        <v>0</v>
      </c>
      <c r="G14" s="1137"/>
      <c r="H14" s="1137"/>
      <c r="I14" s="1137"/>
      <c r="J14" s="1137"/>
      <c r="K14" s="1137"/>
      <c r="L14" s="1137">
        <f t="shared" si="3"/>
        <v>0</v>
      </c>
      <c r="M14" s="1137"/>
      <c r="N14" s="1137"/>
      <c r="O14" s="1139">
        <f t="shared" si="4"/>
        <v>0</v>
      </c>
    </row>
    <row r="15" spans="1:15" s="1176" customFormat="1" x14ac:dyDescent="0.25">
      <c r="A15" s="57" t="s">
        <v>206</v>
      </c>
      <c r="B15" s="1392" t="s">
        <v>400</v>
      </c>
      <c r="C15" s="1393"/>
      <c r="D15" s="1138">
        <f t="shared" si="0"/>
        <v>0</v>
      </c>
      <c r="E15" s="1138">
        <f t="shared" si="1"/>
        <v>0</v>
      </c>
      <c r="F15" s="1138">
        <f t="shared" si="2"/>
        <v>0</v>
      </c>
      <c r="G15" s="1138">
        <f>+G4</f>
        <v>0</v>
      </c>
      <c r="H15" s="1138">
        <f t="shared" ref="H15:I15" si="5">+H4</f>
        <v>0</v>
      </c>
      <c r="I15" s="1138">
        <f t="shared" si="5"/>
        <v>0</v>
      </c>
      <c r="J15" s="1138">
        <f>+J4</f>
        <v>0</v>
      </c>
      <c r="K15" s="1138"/>
      <c r="L15" s="1138">
        <f t="shared" si="3"/>
        <v>0</v>
      </c>
      <c r="M15" s="1138">
        <f>+M4</f>
        <v>0</v>
      </c>
      <c r="N15" s="1138"/>
      <c r="O15" s="1139">
        <f t="shared" si="4"/>
        <v>0</v>
      </c>
    </row>
    <row r="16" spans="1:15" s="1176" customFormat="1" x14ac:dyDescent="0.25">
      <c r="A16" s="56" t="s">
        <v>208</v>
      </c>
      <c r="B16" s="1394" t="s">
        <v>207</v>
      </c>
      <c r="C16" s="1395"/>
      <c r="D16" s="1139">
        <f t="shared" si="0"/>
        <v>0</v>
      </c>
      <c r="E16" s="1139">
        <f t="shared" si="1"/>
        <v>0</v>
      </c>
      <c r="F16" s="1139">
        <f t="shared" si="2"/>
        <v>0</v>
      </c>
      <c r="G16" s="1139">
        <v>0</v>
      </c>
      <c r="H16" s="1139"/>
      <c r="I16" s="1139">
        <f>+H16+G16</f>
        <v>0</v>
      </c>
      <c r="J16" s="1139">
        <f>+J19</f>
        <v>0</v>
      </c>
      <c r="K16" s="1139"/>
      <c r="L16" s="1139">
        <f t="shared" si="3"/>
        <v>0</v>
      </c>
      <c r="M16" s="1139">
        <f>+M19</f>
        <v>0</v>
      </c>
      <c r="N16" s="1139"/>
      <c r="O16" s="1139">
        <f t="shared" si="4"/>
        <v>0</v>
      </c>
    </row>
    <row r="17" spans="1:15" s="1176" customFormat="1" ht="14.45" hidden="1" customHeight="1" x14ac:dyDescent="0.25">
      <c r="A17" s="82"/>
      <c r="B17" s="1388" t="s">
        <v>329</v>
      </c>
      <c r="C17" s="1389"/>
      <c r="D17" s="1139">
        <f t="shared" si="0"/>
        <v>0</v>
      </c>
      <c r="E17" s="1137">
        <f t="shared" si="1"/>
        <v>0</v>
      </c>
      <c r="F17" s="1137">
        <f t="shared" si="2"/>
        <v>0</v>
      </c>
      <c r="G17" s="1137"/>
      <c r="H17" s="1137"/>
      <c r="I17" s="1139">
        <f t="shared" ref="I17:I41" si="6">+H17+G17</f>
        <v>0</v>
      </c>
      <c r="J17" s="1137"/>
      <c r="K17" s="1137"/>
      <c r="L17" s="1137">
        <f t="shared" si="3"/>
        <v>0</v>
      </c>
      <c r="M17" s="1137"/>
      <c r="N17" s="1137"/>
      <c r="O17" s="1139">
        <f t="shared" si="4"/>
        <v>0</v>
      </c>
    </row>
    <row r="18" spans="1:15" s="1176" customFormat="1" ht="14.45" hidden="1" customHeight="1" x14ac:dyDescent="0.25">
      <c r="A18" s="82"/>
      <c r="B18" s="1388" t="s">
        <v>319</v>
      </c>
      <c r="C18" s="1389"/>
      <c r="D18" s="1139">
        <f t="shared" si="0"/>
        <v>0</v>
      </c>
      <c r="E18" s="1137">
        <f t="shared" si="1"/>
        <v>0</v>
      </c>
      <c r="F18" s="1137">
        <f t="shared" si="2"/>
        <v>0</v>
      </c>
      <c r="G18" s="1137"/>
      <c r="H18" s="1137"/>
      <c r="I18" s="1139">
        <f t="shared" si="6"/>
        <v>0</v>
      </c>
      <c r="J18" s="1137"/>
      <c r="K18" s="1137"/>
      <c r="L18" s="1137">
        <f t="shared" si="3"/>
        <v>0</v>
      </c>
      <c r="M18" s="1137"/>
      <c r="N18" s="1137"/>
      <c r="O18" s="1139">
        <f t="shared" si="4"/>
        <v>0</v>
      </c>
    </row>
    <row r="19" spans="1:15" s="1176" customFormat="1" ht="14.45" hidden="1" customHeight="1" x14ac:dyDescent="0.25">
      <c r="A19" s="82"/>
      <c r="B19" s="1388" t="s">
        <v>320</v>
      </c>
      <c r="C19" s="1389"/>
      <c r="D19" s="1139">
        <f t="shared" si="0"/>
        <v>0</v>
      </c>
      <c r="E19" s="1137">
        <f t="shared" si="1"/>
        <v>0</v>
      </c>
      <c r="F19" s="1137">
        <f t="shared" si="2"/>
        <v>0</v>
      </c>
      <c r="G19" s="1137"/>
      <c r="H19" s="1137"/>
      <c r="I19" s="1139">
        <f t="shared" si="6"/>
        <v>0</v>
      </c>
      <c r="J19" s="1137"/>
      <c r="K19" s="1137"/>
      <c r="L19" s="1137">
        <f t="shared" si="3"/>
        <v>0</v>
      </c>
      <c r="M19" s="1137"/>
      <c r="N19" s="1137"/>
      <c r="O19" s="1139">
        <f t="shared" si="4"/>
        <v>0</v>
      </c>
    </row>
    <row r="20" spans="1:15" s="1176" customFormat="1" ht="14.45" hidden="1" customHeight="1" x14ac:dyDescent="0.25">
      <c r="A20" s="82"/>
      <c r="B20" s="1388" t="s">
        <v>321</v>
      </c>
      <c r="C20" s="1389"/>
      <c r="D20" s="1139">
        <f t="shared" si="0"/>
        <v>0</v>
      </c>
      <c r="E20" s="1137">
        <f t="shared" si="1"/>
        <v>0</v>
      </c>
      <c r="F20" s="1137">
        <f t="shared" si="2"/>
        <v>0</v>
      </c>
      <c r="G20" s="1137"/>
      <c r="H20" s="1137"/>
      <c r="I20" s="1139">
        <f t="shared" si="6"/>
        <v>0</v>
      </c>
      <c r="J20" s="1137"/>
      <c r="K20" s="1137"/>
      <c r="L20" s="1137">
        <f t="shared" si="3"/>
        <v>0</v>
      </c>
      <c r="M20" s="1137"/>
      <c r="N20" s="1137"/>
      <c r="O20" s="1139">
        <f t="shared" si="4"/>
        <v>0</v>
      </c>
    </row>
    <row r="21" spans="1:15" s="1176" customFormat="1" ht="14.45" hidden="1" customHeight="1" x14ac:dyDescent="0.25">
      <c r="A21" s="82"/>
      <c r="B21" s="1388" t="s">
        <v>322</v>
      </c>
      <c r="C21" s="1389"/>
      <c r="D21" s="1139">
        <f t="shared" si="0"/>
        <v>0</v>
      </c>
      <c r="E21" s="1137">
        <f t="shared" si="1"/>
        <v>0</v>
      </c>
      <c r="F21" s="1137">
        <f t="shared" si="2"/>
        <v>0</v>
      </c>
      <c r="G21" s="1137"/>
      <c r="H21" s="1137"/>
      <c r="I21" s="1139">
        <f t="shared" si="6"/>
        <v>0</v>
      </c>
      <c r="J21" s="1137"/>
      <c r="K21" s="1137"/>
      <c r="L21" s="1137">
        <f t="shared" si="3"/>
        <v>0</v>
      </c>
      <c r="M21" s="1137"/>
      <c r="N21" s="1137"/>
      <c r="O21" s="1139">
        <f t="shared" si="4"/>
        <v>0</v>
      </c>
    </row>
    <row r="22" spans="1:15" s="1176" customFormat="1" ht="14.45" hidden="1" customHeight="1" x14ac:dyDescent="0.25">
      <c r="A22" s="82"/>
      <c r="B22" s="1388" t="s">
        <v>323</v>
      </c>
      <c r="C22" s="1389"/>
      <c r="D22" s="1139">
        <f t="shared" si="0"/>
        <v>0</v>
      </c>
      <c r="E22" s="1137">
        <f t="shared" si="1"/>
        <v>0</v>
      </c>
      <c r="F22" s="1137">
        <f t="shared" si="2"/>
        <v>0</v>
      </c>
      <c r="G22" s="1137"/>
      <c r="H22" s="1137"/>
      <c r="I22" s="1139">
        <f t="shared" si="6"/>
        <v>0</v>
      </c>
      <c r="J22" s="1137"/>
      <c r="K22" s="1137"/>
      <c r="L22" s="1137">
        <f t="shared" si="3"/>
        <v>0</v>
      </c>
      <c r="M22" s="1137"/>
      <c r="N22" s="1137"/>
      <c r="O22" s="1139">
        <f t="shared" si="4"/>
        <v>0</v>
      </c>
    </row>
    <row r="23" spans="1:15" s="1176" customFormat="1" ht="14.45" hidden="1" customHeight="1" x14ac:dyDescent="0.25">
      <c r="A23" s="82"/>
      <c r="B23" s="1388" t="s">
        <v>99</v>
      </c>
      <c r="C23" s="1389"/>
      <c r="D23" s="1139">
        <f t="shared" si="0"/>
        <v>0</v>
      </c>
      <c r="E23" s="1137">
        <f t="shared" si="1"/>
        <v>0</v>
      </c>
      <c r="F23" s="1137">
        <f t="shared" si="2"/>
        <v>0</v>
      </c>
      <c r="G23" s="1137"/>
      <c r="H23" s="1137"/>
      <c r="I23" s="1139">
        <f t="shared" si="6"/>
        <v>0</v>
      </c>
      <c r="J23" s="1137"/>
      <c r="K23" s="1137"/>
      <c r="L23" s="1137">
        <f t="shared" si="3"/>
        <v>0</v>
      </c>
      <c r="M23" s="1137"/>
      <c r="N23" s="1137"/>
      <c r="O23" s="1139">
        <f t="shared" si="4"/>
        <v>0</v>
      </c>
    </row>
    <row r="24" spans="1:15" s="1176" customFormat="1" ht="14.45" hidden="1" customHeight="1" x14ac:dyDescent="0.25">
      <c r="A24" s="82"/>
      <c r="B24" s="1388" t="s">
        <v>100</v>
      </c>
      <c r="C24" s="1389"/>
      <c r="D24" s="1139">
        <f t="shared" si="0"/>
        <v>0</v>
      </c>
      <c r="E24" s="1137">
        <f t="shared" si="1"/>
        <v>0</v>
      </c>
      <c r="F24" s="1137">
        <f t="shared" si="2"/>
        <v>0</v>
      </c>
      <c r="G24" s="1137"/>
      <c r="H24" s="1137"/>
      <c r="I24" s="1139">
        <f t="shared" si="6"/>
        <v>0</v>
      </c>
      <c r="J24" s="1137"/>
      <c r="K24" s="1137"/>
      <c r="L24" s="1137">
        <f t="shared" si="3"/>
        <v>0</v>
      </c>
      <c r="M24" s="1137"/>
      <c r="N24" s="1137"/>
      <c r="O24" s="1139">
        <f t="shared" si="4"/>
        <v>0</v>
      </c>
    </row>
    <row r="25" spans="1:15" s="1176" customFormat="1" ht="14.45" hidden="1" customHeight="1" x14ac:dyDescent="0.25">
      <c r="A25" s="82"/>
      <c r="B25" s="1388" t="s">
        <v>324</v>
      </c>
      <c r="C25" s="1389"/>
      <c r="D25" s="1139">
        <f t="shared" si="0"/>
        <v>0</v>
      </c>
      <c r="E25" s="1137">
        <f t="shared" si="1"/>
        <v>0</v>
      </c>
      <c r="F25" s="1137">
        <f t="shared" si="2"/>
        <v>0</v>
      </c>
      <c r="G25" s="1137"/>
      <c r="H25" s="1137"/>
      <c r="I25" s="1139">
        <f t="shared" si="6"/>
        <v>0</v>
      </c>
      <c r="J25" s="1137"/>
      <c r="K25" s="1137"/>
      <c r="L25" s="1137">
        <f t="shared" si="3"/>
        <v>0</v>
      </c>
      <c r="M25" s="1137"/>
      <c r="N25" s="1137"/>
      <c r="O25" s="1139">
        <f t="shared" si="4"/>
        <v>0</v>
      </c>
    </row>
    <row r="26" spans="1:15" s="1176" customFormat="1" ht="14.45" hidden="1" customHeight="1" x14ac:dyDescent="0.25">
      <c r="A26" s="82"/>
      <c r="B26" s="1388" t="s">
        <v>325</v>
      </c>
      <c r="C26" s="1389"/>
      <c r="D26" s="1139">
        <f t="shared" si="0"/>
        <v>0</v>
      </c>
      <c r="E26" s="1137">
        <f t="shared" si="1"/>
        <v>0</v>
      </c>
      <c r="F26" s="1137">
        <f t="shared" si="2"/>
        <v>0</v>
      </c>
      <c r="G26" s="1137"/>
      <c r="H26" s="1137"/>
      <c r="I26" s="1139">
        <f t="shared" si="6"/>
        <v>0</v>
      </c>
      <c r="J26" s="1137"/>
      <c r="K26" s="1137"/>
      <c r="L26" s="1137">
        <f t="shared" si="3"/>
        <v>0</v>
      </c>
      <c r="M26" s="1137"/>
      <c r="N26" s="1137"/>
      <c r="O26" s="1139">
        <f t="shared" si="4"/>
        <v>0</v>
      </c>
    </row>
    <row r="27" spans="1:15" s="1176" customFormat="1" x14ac:dyDescent="0.25">
      <c r="A27" s="57" t="s">
        <v>209</v>
      </c>
      <c r="B27" s="1392" t="s">
        <v>327</v>
      </c>
      <c r="C27" s="1393"/>
      <c r="D27" s="1138">
        <f t="shared" si="0"/>
        <v>0</v>
      </c>
      <c r="E27" s="1138">
        <f t="shared" si="1"/>
        <v>0</v>
      </c>
      <c r="F27" s="1138">
        <f t="shared" si="2"/>
        <v>0</v>
      </c>
      <c r="G27" s="1138">
        <v>0</v>
      </c>
      <c r="H27" s="1138"/>
      <c r="I27" s="1138">
        <f t="shared" si="6"/>
        <v>0</v>
      </c>
      <c r="J27" s="1138">
        <f>+J16</f>
        <v>0</v>
      </c>
      <c r="K27" s="1138"/>
      <c r="L27" s="1138">
        <f t="shared" si="3"/>
        <v>0</v>
      </c>
      <c r="M27" s="1138">
        <f>+M16</f>
        <v>0</v>
      </c>
      <c r="N27" s="1138"/>
      <c r="O27" s="1139">
        <f t="shared" si="4"/>
        <v>0</v>
      </c>
    </row>
    <row r="28" spans="1:15" s="571" customFormat="1" ht="15" customHeight="1" x14ac:dyDescent="0.25">
      <c r="A28" s="751" t="s">
        <v>234</v>
      </c>
      <c r="B28" s="1373" t="s">
        <v>332</v>
      </c>
      <c r="C28" s="1375"/>
      <c r="D28" s="1140">
        <f t="shared" si="0"/>
        <v>0</v>
      </c>
      <c r="E28" s="1140">
        <f t="shared" si="1"/>
        <v>0</v>
      </c>
      <c r="F28" s="1140">
        <f t="shared" si="2"/>
        <v>0</v>
      </c>
      <c r="G28" s="1140">
        <v>0</v>
      </c>
      <c r="H28" s="1140"/>
      <c r="I28" s="1140">
        <f t="shared" si="6"/>
        <v>0</v>
      </c>
      <c r="J28" s="1140">
        <v>0</v>
      </c>
      <c r="K28" s="1140"/>
      <c r="L28" s="1140">
        <f t="shared" si="3"/>
        <v>0</v>
      </c>
      <c r="M28" s="1140">
        <v>0</v>
      </c>
      <c r="N28" s="1140"/>
      <c r="O28" s="1136">
        <f t="shared" si="4"/>
        <v>0</v>
      </c>
    </row>
    <row r="29" spans="1:15" s="571" customFormat="1" ht="15" customHeight="1" x14ac:dyDescent="0.25">
      <c r="A29" s="325" t="s">
        <v>238</v>
      </c>
      <c r="B29" s="1384" t="s">
        <v>237</v>
      </c>
      <c r="C29" s="1385"/>
      <c r="D29" s="752">
        <f t="shared" si="0"/>
        <v>6254</v>
      </c>
      <c r="E29" s="752">
        <f t="shared" si="1"/>
        <v>1469</v>
      </c>
      <c r="F29" s="1145">
        <f t="shared" si="2"/>
        <v>7723</v>
      </c>
      <c r="G29" s="752">
        <v>923</v>
      </c>
      <c r="H29" s="752">
        <v>1469</v>
      </c>
      <c r="I29" s="1136">
        <f t="shared" si="6"/>
        <v>2392</v>
      </c>
      <c r="J29" s="752">
        <v>5331</v>
      </c>
      <c r="K29" s="752"/>
      <c r="L29" s="1145">
        <f t="shared" si="3"/>
        <v>5331</v>
      </c>
      <c r="M29" s="752"/>
      <c r="N29" s="752"/>
      <c r="O29" s="1136">
        <f t="shared" si="4"/>
        <v>0</v>
      </c>
    </row>
    <row r="30" spans="1:15" s="571" customFormat="1" ht="15" customHeight="1" x14ac:dyDescent="0.25">
      <c r="A30" s="753" t="s">
        <v>240</v>
      </c>
      <c r="B30" s="1384" t="s">
        <v>239</v>
      </c>
      <c r="C30" s="1385"/>
      <c r="D30" s="752">
        <f t="shared" si="0"/>
        <v>580</v>
      </c>
      <c r="E30" s="752">
        <f t="shared" si="1"/>
        <v>70</v>
      </c>
      <c r="F30" s="1145">
        <f t="shared" si="2"/>
        <v>650</v>
      </c>
      <c r="G30" s="752">
        <v>580</v>
      </c>
      <c r="H30" s="752">
        <v>70</v>
      </c>
      <c r="I30" s="1136">
        <f t="shared" si="6"/>
        <v>650</v>
      </c>
      <c r="J30" s="752"/>
      <c r="K30" s="752"/>
      <c r="L30" s="1145">
        <f t="shared" si="3"/>
        <v>0</v>
      </c>
      <c r="M30" s="752"/>
      <c r="N30" s="752"/>
      <c r="O30" s="1136">
        <f t="shared" si="4"/>
        <v>0</v>
      </c>
    </row>
    <row r="31" spans="1:15" s="571" customFormat="1" ht="15" customHeight="1" x14ac:dyDescent="0.25">
      <c r="A31" s="753" t="s">
        <v>242</v>
      </c>
      <c r="B31" s="1384" t="s">
        <v>241</v>
      </c>
      <c r="C31" s="1385"/>
      <c r="D31" s="752">
        <f t="shared" si="0"/>
        <v>487</v>
      </c>
      <c r="E31" s="752">
        <f t="shared" si="1"/>
        <v>0</v>
      </c>
      <c r="F31" s="1145">
        <f t="shared" si="2"/>
        <v>487</v>
      </c>
      <c r="G31" s="752">
        <v>487</v>
      </c>
      <c r="H31" s="752"/>
      <c r="I31" s="1136">
        <f t="shared" si="6"/>
        <v>487</v>
      </c>
      <c r="J31" s="752"/>
      <c r="K31" s="752"/>
      <c r="L31" s="1145">
        <f t="shared" si="3"/>
        <v>0</v>
      </c>
      <c r="M31" s="752"/>
      <c r="N31" s="752"/>
      <c r="O31" s="1136">
        <f t="shared" si="4"/>
        <v>0</v>
      </c>
    </row>
    <row r="32" spans="1:15" s="571" customFormat="1" ht="15" customHeight="1" x14ac:dyDescent="0.25">
      <c r="A32" s="325" t="s">
        <v>246</v>
      </c>
      <c r="B32" s="1390" t="s">
        <v>245</v>
      </c>
      <c r="C32" s="1391"/>
      <c r="D32" s="752">
        <f t="shared" si="0"/>
        <v>1439</v>
      </c>
      <c r="E32" s="752">
        <f t="shared" si="1"/>
        <v>0</v>
      </c>
      <c r="F32" s="1145">
        <f t="shared" si="2"/>
        <v>1439</v>
      </c>
      <c r="G32" s="752"/>
      <c r="H32" s="752"/>
      <c r="I32" s="1136">
        <f t="shared" si="6"/>
        <v>0</v>
      </c>
      <c r="J32" s="752">
        <v>1439</v>
      </c>
      <c r="K32" s="752"/>
      <c r="L32" s="1145">
        <f t="shared" si="3"/>
        <v>1439</v>
      </c>
      <c r="M32" s="752"/>
      <c r="N32" s="752"/>
      <c r="O32" s="1136">
        <f t="shared" si="4"/>
        <v>0</v>
      </c>
    </row>
    <row r="33" spans="1:15" s="571" customFormat="1" ht="15" customHeight="1" x14ac:dyDescent="0.25">
      <c r="A33" s="325" t="s">
        <v>248</v>
      </c>
      <c r="B33" s="1390" t="s">
        <v>247</v>
      </c>
      <c r="C33" s="1391"/>
      <c r="D33" s="752">
        <f t="shared" si="0"/>
        <v>0</v>
      </c>
      <c r="E33" s="752">
        <f t="shared" si="1"/>
        <v>0</v>
      </c>
      <c r="F33" s="1145">
        <f t="shared" si="2"/>
        <v>0</v>
      </c>
      <c r="G33" s="752"/>
      <c r="H33" s="752"/>
      <c r="I33" s="1136">
        <f t="shared" si="6"/>
        <v>0</v>
      </c>
      <c r="J33" s="752"/>
      <c r="K33" s="752"/>
      <c r="L33" s="1145">
        <f t="shared" si="3"/>
        <v>0</v>
      </c>
      <c r="M33" s="752"/>
      <c r="N33" s="752"/>
      <c r="O33" s="1136">
        <f t="shared" si="4"/>
        <v>0</v>
      </c>
    </row>
    <row r="34" spans="1:15" s="571" customFormat="1" ht="15" customHeight="1" x14ac:dyDescent="0.25">
      <c r="A34" s="325" t="s">
        <v>250</v>
      </c>
      <c r="B34" s="1384" t="s">
        <v>249</v>
      </c>
      <c r="C34" s="1385"/>
      <c r="D34" s="752">
        <f t="shared" si="0"/>
        <v>0</v>
      </c>
      <c r="E34" s="752">
        <f t="shared" si="1"/>
        <v>0</v>
      </c>
      <c r="F34" s="1145">
        <f t="shared" si="2"/>
        <v>0</v>
      </c>
      <c r="G34" s="752"/>
      <c r="H34" s="752"/>
      <c r="I34" s="1136">
        <f t="shared" si="6"/>
        <v>0</v>
      </c>
      <c r="J34" s="752"/>
      <c r="K34" s="752"/>
      <c r="L34" s="1145">
        <f t="shared" si="3"/>
        <v>0</v>
      </c>
      <c r="M34" s="752"/>
      <c r="N34" s="752"/>
      <c r="O34" s="1136">
        <f t="shared" si="4"/>
        <v>0</v>
      </c>
    </row>
    <row r="35" spans="1:15" s="571" customFormat="1" ht="15" customHeight="1" x14ac:dyDescent="0.25">
      <c r="A35" s="325" t="s">
        <v>604</v>
      </c>
      <c r="B35" s="1384" t="s">
        <v>253</v>
      </c>
      <c r="C35" s="1385"/>
      <c r="D35" s="752">
        <f t="shared" si="0"/>
        <v>2</v>
      </c>
      <c r="E35" s="752">
        <f t="shared" si="1"/>
        <v>0</v>
      </c>
      <c r="F35" s="1145">
        <f t="shared" si="2"/>
        <v>2</v>
      </c>
      <c r="G35" s="752"/>
      <c r="H35" s="752"/>
      <c r="I35" s="1136">
        <f t="shared" si="6"/>
        <v>0</v>
      </c>
      <c r="J35" s="752">
        <v>2</v>
      </c>
      <c r="K35" s="752"/>
      <c r="L35" s="1145">
        <f t="shared" si="3"/>
        <v>2</v>
      </c>
      <c r="M35" s="752"/>
      <c r="N35" s="752"/>
      <c r="O35" s="1136">
        <f t="shared" si="4"/>
        <v>0</v>
      </c>
    </row>
    <row r="36" spans="1:15" s="571" customFormat="1" ht="15" customHeight="1" x14ac:dyDescent="0.25">
      <c r="A36" s="751" t="s">
        <v>254</v>
      </c>
      <c r="B36" s="1371" t="s">
        <v>277</v>
      </c>
      <c r="C36" s="1372"/>
      <c r="D36" s="754">
        <f t="shared" si="0"/>
        <v>8762</v>
      </c>
      <c r="E36" s="754">
        <f t="shared" si="1"/>
        <v>1539</v>
      </c>
      <c r="F36" s="1146">
        <f t="shared" si="2"/>
        <v>10301</v>
      </c>
      <c r="G36" s="754">
        <f>SUM(G29:G35)</f>
        <v>1990</v>
      </c>
      <c r="H36" s="754">
        <f t="shared" ref="H36:I36" si="7">SUM(H29:H35)</f>
        <v>1539</v>
      </c>
      <c r="I36" s="754">
        <f t="shared" si="7"/>
        <v>3529</v>
      </c>
      <c r="J36" s="754">
        <f>SUM(J29:J35)</f>
        <v>6772</v>
      </c>
      <c r="K36" s="754">
        <f t="shared" ref="K36:L36" si="8">SUM(K29:K35)</f>
        <v>0</v>
      </c>
      <c r="L36" s="754">
        <f t="shared" si="8"/>
        <v>6772</v>
      </c>
      <c r="M36" s="754">
        <f>SUM(M29:M35)</f>
        <v>0</v>
      </c>
      <c r="N36" s="754">
        <f t="shared" ref="N36:O36" si="9">SUM(N29:N35)</f>
        <v>0</v>
      </c>
      <c r="O36" s="754">
        <f t="shared" si="9"/>
        <v>0</v>
      </c>
    </row>
    <row r="37" spans="1:15" s="571" customFormat="1" ht="15" customHeight="1" x14ac:dyDescent="0.25">
      <c r="A37" s="751" t="s">
        <v>255</v>
      </c>
      <c r="B37" s="1371" t="s">
        <v>276</v>
      </c>
      <c r="C37" s="1372">
        <v>0</v>
      </c>
      <c r="D37" s="754">
        <f t="shared" si="0"/>
        <v>0</v>
      </c>
      <c r="E37" s="754">
        <f t="shared" si="1"/>
        <v>0</v>
      </c>
      <c r="F37" s="1146">
        <f t="shared" si="2"/>
        <v>0</v>
      </c>
      <c r="G37" s="754"/>
      <c r="H37" s="754"/>
      <c r="I37" s="1136">
        <f t="shared" si="6"/>
        <v>0</v>
      </c>
      <c r="J37" s="754">
        <v>0</v>
      </c>
      <c r="K37" s="754"/>
      <c r="L37" s="1146">
        <f t="shared" si="3"/>
        <v>0</v>
      </c>
      <c r="M37" s="754">
        <v>0</v>
      </c>
      <c r="N37" s="754">
        <v>0</v>
      </c>
      <c r="O37" s="754">
        <v>0</v>
      </c>
    </row>
    <row r="38" spans="1:15" s="571" customFormat="1" ht="15" customHeight="1" x14ac:dyDescent="0.25">
      <c r="A38" s="325" t="s">
        <v>257</v>
      </c>
      <c r="B38" s="1384" t="s">
        <v>256</v>
      </c>
      <c r="C38" s="1385">
        <v>42</v>
      </c>
      <c r="D38" s="752">
        <f t="shared" si="0"/>
        <v>700</v>
      </c>
      <c r="E38" s="752">
        <f t="shared" si="1"/>
        <v>0</v>
      </c>
      <c r="F38" s="1145">
        <f t="shared" si="2"/>
        <v>700</v>
      </c>
      <c r="G38" s="752">
        <v>700</v>
      </c>
      <c r="H38" s="752"/>
      <c r="I38" s="1136">
        <f t="shared" si="6"/>
        <v>700</v>
      </c>
      <c r="J38" s="752">
        <v>0</v>
      </c>
      <c r="K38" s="752"/>
      <c r="L38" s="1145">
        <f t="shared" si="3"/>
        <v>0</v>
      </c>
      <c r="M38" s="752">
        <v>0</v>
      </c>
      <c r="N38" s="752"/>
      <c r="O38" s="1177">
        <f t="shared" si="4"/>
        <v>0</v>
      </c>
    </row>
    <row r="39" spans="1:15" s="571" customFormat="1" ht="15" customHeight="1" x14ac:dyDescent="0.25">
      <c r="A39" s="751" t="s">
        <v>258</v>
      </c>
      <c r="B39" s="1371" t="s">
        <v>275</v>
      </c>
      <c r="C39" s="1372">
        <f>+C38</f>
        <v>42</v>
      </c>
      <c r="D39" s="754">
        <f t="shared" si="0"/>
        <v>700</v>
      </c>
      <c r="E39" s="754">
        <f t="shared" si="1"/>
        <v>0</v>
      </c>
      <c r="F39" s="1146">
        <f t="shared" si="2"/>
        <v>700</v>
      </c>
      <c r="G39" s="754">
        <f>+G38</f>
        <v>700</v>
      </c>
      <c r="H39" s="754"/>
      <c r="I39" s="1140">
        <f t="shared" si="6"/>
        <v>700</v>
      </c>
      <c r="J39" s="754">
        <f>+J38</f>
        <v>0</v>
      </c>
      <c r="K39" s="754"/>
      <c r="L39" s="1146">
        <f t="shared" si="3"/>
        <v>0</v>
      </c>
      <c r="M39" s="754">
        <f>+M38</f>
        <v>0</v>
      </c>
      <c r="N39" s="754"/>
      <c r="O39" s="1177">
        <f t="shared" si="4"/>
        <v>0</v>
      </c>
    </row>
    <row r="40" spans="1:15" s="571" customFormat="1" ht="15" customHeight="1" x14ac:dyDescent="0.25">
      <c r="A40" s="325" t="s">
        <v>260</v>
      </c>
      <c r="B40" s="1384" t="s">
        <v>259</v>
      </c>
      <c r="C40" s="1385"/>
      <c r="D40" s="752">
        <f t="shared" si="0"/>
        <v>0</v>
      </c>
      <c r="E40" s="752">
        <f t="shared" si="1"/>
        <v>0</v>
      </c>
      <c r="F40" s="1145">
        <f t="shared" si="2"/>
        <v>0</v>
      </c>
      <c r="G40" s="752"/>
      <c r="H40" s="752"/>
      <c r="I40" s="1136">
        <f t="shared" si="6"/>
        <v>0</v>
      </c>
      <c r="J40" s="752">
        <v>0</v>
      </c>
      <c r="K40" s="752"/>
      <c r="L40" s="1145">
        <f t="shared" si="3"/>
        <v>0</v>
      </c>
      <c r="M40" s="752">
        <v>0</v>
      </c>
      <c r="N40" s="752"/>
      <c r="O40" s="1177">
        <f t="shared" si="4"/>
        <v>0</v>
      </c>
    </row>
    <row r="41" spans="1:15" s="571" customFormat="1" ht="15" customHeight="1" x14ac:dyDescent="0.25">
      <c r="A41" s="751" t="s">
        <v>261</v>
      </c>
      <c r="B41" s="1371" t="s">
        <v>280</v>
      </c>
      <c r="C41" s="1372"/>
      <c r="D41" s="754">
        <f t="shared" si="0"/>
        <v>0</v>
      </c>
      <c r="E41" s="754">
        <f t="shared" si="1"/>
        <v>0</v>
      </c>
      <c r="F41" s="1146">
        <f t="shared" si="2"/>
        <v>0</v>
      </c>
      <c r="G41" s="754">
        <f>+G40</f>
        <v>0</v>
      </c>
      <c r="H41" s="754"/>
      <c r="I41" s="1136">
        <f t="shared" si="6"/>
        <v>0</v>
      </c>
      <c r="J41" s="754">
        <f>+J40</f>
        <v>0</v>
      </c>
      <c r="K41" s="754"/>
      <c r="L41" s="1146">
        <f t="shared" si="3"/>
        <v>0</v>
      </c>
      <c r="M41" s="754">
        <f>+M40</f>
        <v>0</v>
      </c>
      <c r="N41" s="754"/>
      <c r="O41" s="1177">
        <f t="shared" si="4"/>
        <v>0</v>
      </c>
    </row>
    <row r="42" spans="1:15" s="571" customFormat="1" ht="15" customHeight="1" x14ac:dyDescent="0.25">
      <c r="A42" s="751" t="s">
        <v>262</v>
      </c>
      <c r="B42" s="1371" t="s">
        <v>273</v>
      </c>
      <c r="C42" s="1372"/>
      <c r="D42" s="754">
        <f t="shared" si="0"/>
        <v>9462</v>
      </c>
      <c r="E42" s="754">
        <f t="shared" si="1"/>
        <v>1539</v>
      </c>
      <c r="F42" s="754">
        <f t="shared" si="2"/>
        <v>11001</v>
      </c>
      <c r="G42" s="754">
        <f t="shared" ref="G42:O42" si="10">+G41+G39+G37+G36+G27+G15</f>
        <v>2690</v>
      </c>
      <c r="H42" s="754">
        <f t="shared" si="10"/>
        <v>1539</v>
      </c>
      <c r="I42" s="754">
        <f t="shared" si="10"/>
        <v>4229</v>
      </c>
      <c r="J42" s="754">
        <f t="shared" si="10"/>
        <v>6772</v>
      </c>
      <c r="K42" s="754">
        <f t="shared" si="10"/>
        <v>0</v>
      </c>
      <c r="L42" s="754">
        <f t="shared" si="3"/>
        <v>6772</v>
      </c>
      <c r="M42" s="754">
        <f t="shared" si="10"/>
        <v>0</v>
      </c>
      <c r="N42" s="754">
        <f t="shared" si="10"/>
        <v>0</v>
      </c>
      <c r="O42" s="754">
        <f t="shared" si="10"/>
        <v>0</v>
      </c>
    </row>
    <row r="43" spans="1:15" s="571" customFormat="1" ht="15" customHeight="1" x14ac:dyDescent="0.25">
      <c r="A43" s="325" t="s">
        <v>270</v>
      </c>
      <c r="B43" s="1386" t="s">
        <v>269</v>
      </c>
      <c r="C43" s="1387"/>
      <c r="D43" s="752">
        <f t="shared" si="0"/>
        <v>11467</v>
      </c>
      <c r="E43" s="752">
        <f t="shared" si="1"/>
        <v>0</v>
      </c>
      <c r="F43" s="752">
        <f t="shared" si="2"/>
        <v>11467</v>
      </c>
      <c r="G43" s="752">
        <v>8237</v>
      </c>
      <c r="H43" s="752"/>
      <c r="I43" s="752">
        <f>+H43+G43</f>
        <v>8237</v>
      </c>
      <c r="J43" s="752">
        <v>3230</v>
      </c>
      <c r="K43" s="752"/>
      <c r="L43" s="752">
        <f t="shared" si="3"/>
        <v>3230</v>
      </c>
      <c r="M43" s="752"/>
      <c r="N43" s="752"/>
      <c r="O43" s="752">
        <f>+N43+M43</f>
        <v>0</v>
      </c>
    </row>
    <row r="44" spans="1:15" s="571" customFormat="1" ht="14.45" hidden="1" customHeight="1" x14ac:dyDescent="0.25">
      <c r="A44" s="326"/>
      <c r="B44" s="442"/>
      <c r="C44" s="443" t="s">
        <v>387</v>
      </c>
      <c r="D44" s="755">
        <f t="shared" si="0"/>
        <v>0</v>
      </c>
      <c r="E44" s="755">
        <f t="shared" si="1"/>
        <v>0</v>
      </c>
      <c r="F44" s="755">
        <f t="shared" si="2"/>
        <v>0</v>
      </c>
      <c r="G44" s="755"/>
      <c r="H44" s="755"/>
      <c r="I44" s="752">
        <f t="shared" ref="I44:I45" si="11">+H44+G44</f>
        <v>0</v>
      </c>
      <c r="J44" s="755"/>
      <c r="K44" s="755"/>
      <c r="L44" s="755">
        <f t="shared" si="3"/>
        <v>0</v>
      </c>
      <c r="M44" s="755"/>
      <c r="N44" s="755"/>
      <c r="O44" s="755"/>
    </row>
    <row r="45" spans="1:15" s="571" customFormat="1" ht="14.45" hidden="1" customHeight="1" x14ac:dyDescent="0.25">
      <c r="A45" s="326"/>
      <c r="B45" s="442"/>
      <c r="C45" s="443" t="s">
        <v>388</v>
      </c>
      <c r="D45" s="755">
        <f t="shared" si="0"/>
        <v>0</v>
      </c>
      <c r="E45" s="755">
        <f t="shared" si="1"/>
        <v>0</v>
      </c>
      <c r="F45" s="755">
        <f t="shared" si="2"/>
        <v>0</v>
      </c>
      <c r="G45" s="755"/>
      <c r="H45" s="755"/>
      <c r="I45" s="752">
        <f t="shared" si="11"/>
        <v>0</v>
      </c>
      <c r="J45" s="755"/>
      <c r="K45" s="755"/>
      <c r="L45" s="755">
        <f t="shared" si="3"/>
        <v>0</v>
      </c>
      <c r="M45" s="755"/>
      <c r="N45" s="755"/>
      <c r="O45" s="755"/>
    </row>
    <row r="46" spans="1:15" s="571" customFormat="1" ht="15" customHeight="1" x14ac:dyDescent="0.25">
      <c r="A46" s="125" t="s">
        <v>271</v>
      </c>
      <c r="B46" s="1373" t="s">
        <v>333</v>
      </c>
      <c r="C46" s="1375"/>
      <c r="D46" s="754">
        <f t="shared" si="0"/>
        <v>11467</v>
      </c>
      <c r="E46" s="754">
        <f t="shared" si="1"/>
        <v>0</v>
      </c>
      <c r="F46" s="754">
        <f t="shared" si="2"/>
        <v>11467</v>
      </c>
      <c r="G46" s="754">
        <f t="shared" ref="G46:O46" si="12">+G43</f>
        <v>8237</v>
      </c>
      <c r="H46" s="754">
        <f t="shared" si="12"/>
        <v>0</v>
      </c>
      <c r="I46" s="754">
        <f t="shared" si="12"/>
        <v>8237</v>
      </c>
      <c r="J46" s="754">
        <f t="shared" si="12"/>
        <v>3230</v>
      </c>
      <c r="K46" s="754">
        <f t="shared" si="12"/>
        <v>0</v>
      </c>
      <c r="L46" s="754">
        <f t="shared" si="3"/>
        <v>3230</v>
      </c>
      <c r="M46" s="754">
        <f t="shared" si="12"/>
        <v>0</v>
      </c>
      <c r="N46" s="754">
        <f t="shared" si="12"/>
        <v>0</v>
      </c>
      <c r="O46" s="754">
        <f t="shared" si="12"/>
        <v>0</v>
      </c>
    </row>
    <row r="47" spans="1:15" s="571" customFormat="1" ht="15" customHeight="1" x14ac:dyDescent="0.25">
      <c r="A47" s="325" t="s">
        <v>281</v>
      </c>
      <c r="B47" s="1382" t="s">
        <v>282</v>
      </c>
      <c r="C47" s="1383"/>
      <c r="D47" s="752">
        <f t="shared" si="0"/>
        <v>437802</v>
      </c>
      <c r="E47" s="754">
        <f t="shared" si="1"/>
        <v>426</v>
      </c>
      <c r="F47" s="1146">
        <f t="shared" si="2"/>
        <v>438228</v>
      </c>
      <c r="G47" s="752">
        <v>220890</v>
      </c>
      <c r="H47" s="752"/>
      <c r="I47" s="1145">
        <f>+H47+G47</f>
        <v>220890</v>
      </c>
      <c r="J47" s="752">
        <v>216912</v>
      </c>
      <c r="K47" s="752">
        <v>426</v>
      </c>
      <c r="L47" s="1145">
        <f t="shared" si="3"/>
        <v>217338</v>
      </c>
      <c r="M47" s="752"/>
      <c r="N47" s="752"/>
      <c r="O47" s="1145">
        <f>+N47+M47</f>
        <v>0</v>
      </c>
    </row>
    <row r="48" spans="1:15" s="571" customFormat="1" ht="15" customHeight="1" x14ac:dyDescent="0.25">
      <c r="A48" s="751" t="s">
        <v>272</v>
      </c>
      <c r="B48" s="1371" t="s">
        <v>283</v>
      </c>
      <c r="C48" s="1372"/>
      <c r="D48" s="754">
        <f t="shared" si="0"/>
        <v>449269</v>
      </c>
      <c r="E48" s="754">
        <f t="shared" si="1"/>
        <v>426</v>
      </c>
      <c r="F48" s="754">
        <f t="shared" si="2"/>
        <v>449695</v>
      </c>
      <c r="G48" s="754">
        <f t="shared" ref="G48:O48" si="13">+G47+G46</f>
        <v>229127</v>
      </c>
      <c r="H48" s="754">
        <f t="shared" si="13"/>
        <v>0</v>
      </c>
      <c r="I48" s="754">
        <f t="shared" si="13"/>
        <v>229127</v>
      </c>
      <c r="J48" s="754">
        <f t="shared" si="13"/>
        <v>220142</v>
      </c>
      <c r="K48" s="754">
        <f t="shared" si="13"/>
        <v>426</v>
      </c>
      <c r="L48" s="754">
        <f t="shared" si="3"/>
        <v>220568</v>
      </c>
      <c r="M48" s="754">
        <f t="shared" si="13"/>
        <v>0</v>
      </c>
      <c r="N48" s="754">
        <f t="shared" si="13"/>
        <v>0</v>
      </c>
      <c r="O48" s="754">
        <f t="shared" si="13"/>
        <v>0</v>
      </c>
    </row>
    <row r="49" spans="1:15" s="571" customFormat="1" ht="15" customHeight="1" x14ac:dyDescent="0.25">
      <c r="A49" s="1373" t="s">
        <v>284</v>
      </c>
      <c r="B49" s="1374"/>
      <c r="C49" s="1375"/>
      <c r="D49" s="754">
        <f t="shared" si="0"/>
        <v>458731</v>
      </c>
      <c r="E49" s="754">
        <f t="shared" si="1"/>
        <v>1965</v>
      </c>
      <c r="F49" s="754">
        <f t="shared" si="2"/>
        <v>460696</v>
      </c>
      <c r="G49" s="754">
        <f t="shared" ref="G49:O49" si="14">+G48+G42</f>
        <v>231817</v>
      </c>
      <c r="H49" s="754">
        <f>+H48+H42</f>
        <v>1539</v>
      </c>
      <c r="I49" s="754">
        <f t="shared" si="14"/>
        <v>233356</v>
      </c>
      <c r="J49" s="754">
        <f t="shared" si="14"/>
        <v>226914</v>
      </c>
      <c r="K49" s="754">
        <f t="shared" si="14"/>
        <v>426</v>
      </c>
      <c r="L49" s="754">
        <f t="shared" si="3"/>
        <v>227340</v>
      </c>
      <c r="M49" s="754">
        <f t="shared" si="14"/>
        <v>0</v>
      </c>
      <c r="N49" s="754">
        <f t="shared" si="14"/>
        <v>0</v>
      </c>
      <c r="O49" s="754">
        <f t="shared" si="14"/>
        <v>0</v>
      </c>
    </row>
    <row r="50" spans="1:15" s="571" customFormat="1" x14ac:dyDescent="0.25">
      <c r="A50" s="1178"/>
      <c r="B50" s="1141"/>
      <c r="C50" s="1141"/>
      <c r="D50" s="1147"/>
      <c r="E50" s="1147"/>
      <c r="F50" s="1147"/>
      <c r="G50" s="1141"/>
      <c r="H50" s="1141"/>
      <c r="I50" s="1141"/>
      <c r="J50" s="1141"/>
      <c r="K50" s="1141"/>
      <c r="L50" s="1141"/>
      <c r="M50" s="1141"/>
      <c r="N50" s="1141"/>
      <c r="O50" s="1141"/>
    </row>
    <row r="51" spans="1:15" s="571" customFormat="1" ht="25.5" customHeight="1" x14ac:dyDescent="0.25">
      <c r="A51" s="1376" t="s">
        <v>0</v>
      </c>
      <c r="B51" s="1378" t="s">
        <v>182</v>
      </c>
      <c r="C51" s="1379"/>
      <c r="D51" s="1368" t="s">
        <v>180</v>
      </c>
      <c r="E51" s="1369"/>
      <c r="F51" s="1370"/>
      <c r="G51" s="1365" t="s">
        <v>288</v>
      </c>
      <c r="H51" s="1366"/>
      <c r="I51" s="1367"/>
      <c r="J51" s="1365" t="s">
        <v>289</v>
      </c>
      <c r="K51" s="1366"/>
      <c r="L51" s="1367"/>
      <c r="M51" s="1365" t="s">
        <v>290</v>
      </c>
      <c r="N51" s="1366"/>
      <c r="O51" s="1367"/>
    </row>
    <row r="52" spans="1:15" s="571" customFormat="1" ht="25.5" x14ac:dyDescent="0.25">
      <c r="A52" s="1377"/>
      <c r="B52" s="1380"/>
      <c r="C52" s="1381"/>
      <c r="D52" s="1128" t="s">
        <v>944</v>
      </c>
      <c r="E52" s="1128" t="s">
        <v>684</v>
      </c>
      <c r="F52" s="1128" t="s">
        <v>941</v>
      </c>
      <c r="G52" s="1128" t="s">
        <v>944</v>
      </c>
      <c r="H52" s="1128" t="s">
        <v>684</v>
      </c>
      <c r="I52" s="1128" t="s">
        <v>941</v>
      </c>
      <c r="J52" s="1128" t="s">
        <v>944</v>
      </c>
      <c r="K52" s="1128" t="s">
        <v>684</v>
      </c>
      <c r="L52" s="1128" t="s">
        <v>941</v>
      </c>
      <c r="M52" s="1128" t="s">
        <v>177</v>
      </c>
      <c r="N52" s="1128" t="s">
        <v>684</v>
      </c>
      <c r="O52" s="1128" t="s">
        <v>685</v>
      </c>
    </row>
    <row r="53" spans="1:15" s="571" customFormat="1" x14ac:dyDescent="0.25">
      <c r="A53" s="4" t="s">
        <v>27</v>
      </c>
      <c r="B53" s="1361" t="s">
        <v>174</v>
      </c>
      <c r="C53" s="1362"/>
      <c r="D53" s="1142">
        <f t="shared" ref="D53:F56" si="15">+G53+J53+M53</f>
        <v>319879</v>
      </c>
      <c r="E53" s="1142">
        <f t="shared" si="15"/>
        <v>1551</v>
      </c>
      <c r="F53" s="1142">
        <f t="shared" si="15"/>
        <v>321430</v>
      </c>
      <c r="G53" s="1142">
        <f>+'6.a. mell. PH'!D19</f>
        <v>178449</v>
      </c>
      <c r="H53" s="1142">
        <f>+'6.a. mell. PH'!E19</f>
        <v>1268</v>
      </c>
      <c r="I53" s="1142">
        <f>+'6.a. mell. PH'!F19</f>
        <v>179717</v>
      </c>
      <c r="J53" s="1142">
        <f>+'6.b. mell. Óvoda'!D19</f>
        <v>141430</v>
      </c>
      <c r="K53" s="1142">
        <f>+'6.b. mell. Óvoda'!E19</f>
        <v>283</v>
      </c>
      <c r="L53" s="1142">
        <f>+'6.b. mell. Óvoda'!F19</f>
        <v>141713</v>
      </c>
      <c r="M53" s="1142"/>
      <c r="N53" s="1142"/>
      <c r="O53" s="1142"/>
    </row>
    <row r="54" spans="1:15" s="571" customFormat="1" x14ac:dyDescent="0.25">
      <c r="A54" s="4" t="s">
        <v>33</v>
      </c>
      <c r="B54" s="1361" t="s">
        <v>173</v>
      </c>
      <c r="C54" s="1362"/>
      <c r="D54" s="1142">
        <f t="shared" si="15"/>
        <v>1677</v>
      </c>
      <c r="E54" s="1142">
        <f t="shared" si="15"/>
        <v>86</v>
      </c>
      <c r="F54" s="1142">
        <f t="shared" si="15"/>
        <v>1763</v>
      </c>
      <c r="G54" s="1142">
        <f>+'6.a. mell. PH'!D23</f>
        <v>30</v>
      </c>
      <c r="H54" s="1142">
        <f>+'6.a. mell. PH'!E23</f>
        <v>0</v>
      </c>
      <c r="I54" s="1142">
        <f>+'6.a. mell. PH'!F23</f>
        <v>30</v>
      </c>
      <c r="J54" s="1142">
        <f>+'6.b. mell. Óvoda'!D23</f>
        <v>1647</v>
      </c>
      <c r="K54" s="1142">
        <f>+'6.b. mell. Óvoda'!E23</f>
        <v>86</v>
      </c>
      <c r="L54" s="1142">
        <f>+'6.b. mell. Óvoda'!F23</f>
        <v>1733</v>
      </c>
      <c r="M54" s="1142"/>
      <c r="N54" s="1142"/>
      <c r="O54" s="1142"/>
    </row>
    <row r="55" spans="1:15" s="571" customFormat="1" x14ac:dyDescent="0.25">
      <c r="A55" s="5" t="s">
        <v>34</v>
      </c>
      <c r="B55" s="1355" t="s">
        <v>172</v>
      </c>
      <c r="C55" s="1356"/>
      <c r="D55" s="966">
        <f t="shared" si="15"/>
        <v>321556</v>
      </c>
      <c r="E55" s="966">
        <f t="shared" si="15"/>
        <v>1637</v>
      </c>
      <c r="F55" s="966">
        <f t="shared" si="15"/>
        <v>323193</v>
      </c>
      <c r="G55" s="966">
        <f>SUM(G53:G54)</f>
        <v>178479</v>
      </c>
      <c r="H55" s="966">
        <f t="shared" ref="H55:I55" si="16">SUM(H53:H54)</f>
        <v>1268</v>
      </c>
      <c r="I55" s="966">
        <f t="shared" si="16"/>
        <v>179747</v>
      </c>
      <c r="J55" s="966">
        <f>+J54+J53</f>
        <v>143077</v>
      </c>
      <c r="K55" s="966">
        <f t="shared" ref="K55:L55" si="17">+K54+K53</f>
        <v>369</v>
      </c>
      <c r="L55" s="966">
        <f t="shared" si="17"/>
        <v>143446</v>
      </c>
      <c r="M55" s="966">
        <f>+M54+M53</f>
        <v>0</v>
      </c>
      <c r="N55" s="966">
        <f t="shared" ref="N55:O55" si="18">+N54+N53</f>
        <v>0</v>
      </c>
      <c r="O55" s="966">
        <f t="shared" si="18"/>
        <v>0</v>
      </c>
    </row>
    <row r="56" spans="1:15" s="571" customFormat="1" x14ac:dyDescent="0.25">
      <c r="A56" s="5" t="s">
        <v>35</v>
      </c>
      <c r="B56" s="1355" t="s">
        <v>171</v>
      </c>
      <c r="C56" s="1356"/>
      <c r="D56" s="966">
        <f t="shared" si="15"/>
        <v>54890</v>
      </c>
      <c r="E56" s="966">
        <f t="shared" si="15"/>
        <v>258</v>
      </c>
      <c r="F56" s="966">
        <f t="shared" si="15"/>
        <v>55148</v>
      </c>
      <c r="G56" s="966">
        <f>+'6.a. mell. PH'!D26</f>
        <v>30548</v>
      </c>
      <c r="H56" s="966">
        <f>+'6.a. mell. PH'!E26</f>
        <v>201</v>
      </c>
      <c r="I56" s="966">
        <f>+'6.a. mell. PH'!F26</f>
        <v>30749</v>
      </c>
      <c r="J56" s="966">
        <f>+'6.b. mell. Óvoda'!D26</f>
        <v>24342</v>
      </c>
      <c r="K56" s="966">
        <f>+'6.b. mell. Óvoda'!E26</f>
        <v>57</v>
      </c>
      <c r="L56" s="966">
        <f>+'6.b. mell. Óvoda'!F26</f>
        <v>24399</v>
      </c>
      <c r="M56" s="966"/>
      <c r="N56" s="966"/>
      <c r="O56" s="966"/>
    </row>
    <row r="57" spans="1:15" s="571" customFormat="1" ht="12.75" customHeight="1" x14ac:dyDescent="0.25">
      <c r="A57" s="1357"/>
      <c r="B57" s="1357"/>
      <c r="C57" s="1357"/>
      <c r="D57" s="1143"/>
      <c r="E57" s="1143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</row>
    <row r="58" spans="1:15" s="571" customFormat="1" x14ac:dyDescent="0.25">
      <c r="A58" s="4" t="s">
        <v>47</v>
      </c>
      <c r="B58" s="1361" t="s">
        <v>170</v>
      </c>
      <c r="C58" s="1362"/>
      <c r="D58" s="1142">
        <f t="shared" ref="D58:F63" si="19">+G58+J58+M58</f>
        <v>5321</v>
      </c>
      <c r="E58" s="1142">
        <f t="shared" si="19"/>
        <v>0</v>
      </c>
      <c r="F58" s="1142">
        <f t="shared" si="19"/>
        <v>5321</v>
      </c>
      <c r="G58" s="1142">
        <f>+'6.a. mell. PH'!D36</f>
        <v>2507</v>
      </c>
      <c r="H58" s="1142">
        <f>+'6.a. mell. PH'!E36</f>
        <v>0</v>
      </c>
      <c r="I58" s="1142">
        <f>+'6.a. mell. PH'!F36</f>
        <v>2507</v>
      </c>
      <c r="J58" s="1142">
        <f>+'6.b. mell. Óvoda'!D36</f>
        <v>2814</v>
      </c>
      <c r="K58" s="1142">
        <f>+'6.b. mell. Óvoda'!E36</f>
        <v>0</v>
      </c>
      <c r="L58" s="1142">
        <f>+'6.b. mell. Óvoda'!F36</f>
        <v>2814</v>
      </c>
      <c r="M58" s="1142"/>
      <c r="N58" s="1142"/>
      <c r="O58" s="1142"/>
    </row>
    <row r="59" spans="1:15" s="571" customFormat="1" x14ac:dyDescent="0.25">
      <c r="A59" s="4" t="s">
        <v>52</v>
      </c>
      <c r="B59" s="1361" t="s">
        <v>169</v>
      </c>
      <c r="C59" s="1362"/>
      <c r="D59" s="1142">
        <f t="shared" si="19"/>
        <v>2230</v>
      </c>
      <c r="E59" s="1142">
        <f t="shared" si="19"/>
        <v>0</v>
      </c>
      <c r="F59" s="1142">
        <f t="shared" si="19"/>
        <v>2230</v>
      </c>
      <c r="G59" s="1142">
        <f>+'6.a. mell. PH'!D39</f>
        <v>2100</v>
      </c>
      <c r="H59" s="1142">
        <f>+'6.a. mell. PH'!E39</f>
        <v>0</v>
      </c>
      <c r="I59" s="1142">
        <f>+'6.a. mell. PH'!F39</f>
        <v>2100</v>
      </c>
      <c r="J59" s="1142">
        <f>+'6.b. mell. Óvoda'!D39</f>
        <v>130</v>
      </c>
      <c r="K59" s="1142">
        <f>+'6.b. mell. Óvoda'!E39</f>
        <v>0</v>
      </c>
      <c r="L59" s="1142">
        <f>+'6.b. mell. Óvoda'!F39</f>
        <v>130</v>
      </c>
      <c r="M59" s="1142"/>
      <c r="N59" s="1142"/>
      <c r="O59" s="1142"/>
    </row>
    <row r="60" spans="1:15" s="571" customFormat="1" x14ac:dyDescent="0.25">
      <c r="A60" s="4" t="s">
        <v>66</v>
      </c>
      <c r="B60" s="1361" t="s">
        <v>156</v>
      </c>
      <c r="C60" s="1362"/>
      <c r="D60" s="1142">
        <f t="shared" si="19"/>
        <v>38108</v>
      </c>
      <c r="E60" s="1142">
        <f t="shared" si="19"/>
        <v>124</v>
      </c>
      <c r="F60" s="1142">
        <f t="shared" si="19"/>
        <v>38232</v>
      </c>
      <c r="G60" s="1142">
        <f>+'6.a. mell. PH'!D49</f>
        <v>7475</v>
      </c>
      <c r="H60" s="1142">
        <f>+'6.a. mell. PH'!E49</f>
        <v>70</v>
      </c>
      <c r="I60" s="1142">
        <f>+'6.a. mell. PH'!F49</f>
        <v>7545</v>
      </c>
      <c r="J60" s="1142">
        <f>+'6.b. mell. Óvoda'!D49</f>
        <v>30633</v>
      </c>
      <c r="K60" s="1142">
        <f>+'6.b. mell. Óvoda'!E49</f>
        <v>54</v>
      </c>
      <c r="L60" s="1142">
        <f>+'6.b. mell. Óvoda'!F49</f>
        <v>30687</v>
      </c>
      <c r="M60" s="1142"/>
      <c r="N60" s="1142"/>
      <c r="O60" s="1142"/>
    </row>
    <row r="61" spans="1:15" s="571" customFormat="1" x14ac:dyDescent="0.25">
      <c r="A61" s="4" t="s">
        <v>71</v>
      </c>
      <c r="B61" s="1361" t="s">
        <v>155</v>
      </c>
      <c r="C61" s="1362"/>
      <c r="D61" s="1142">
        <f t="shared" si="19"/>
        <v>330</v>
      </c>
      <c r="E61" s="1142">
        <f t="shared" si="19"/>
        <v>0</v>
      </c>
      <c r="F61" s="1142">
        <f t="shared" si="19"/>
        <v>330</v>
      </c>
      <c r="G61" s="1142">
        <f>+'6.a. mell. PH'!D52</f>
        <v>300</v>
      </c>
      <c r="H61" s="1142">
        <f>+'6.a. mell. PH'!E52</f>
        <v>0</v>
      </c>
      <c r="I61" s="1142">
        <f>+'6.a. mell. PH'!F52</f>
        <v>300</v>
      </c>
      <c r="J61" s="1142">
        <f>+'6.b. mell. Óvoda'!D52</f>
        <v>30</v>
      </c>
      <c r="K61" s="1142">
        <f>+'6.b. mell. Óvoda'!E52</f>
        <v>0</v>
      </c>
      <c r="L61" s="1142">
        <f>+'6.b. mell. Óvoda'!F52</f>
        <v>30</v>
      </c>
      <c r="M61" s="1142"/>
      <c r="N61" s="1142"/>
      <c r="O61" s="1142"/>
    </row>
    <row r="62" spans="1:15" s="571" customFormat="1" x14ac:dyDescent="0.25">
      <c r="A62" s="4" t="s">
        <v>80</v>
      </c>
      <c r="B62" s="1361" t="s">
        <v>152</v>
      </c>
      <c r="C62" s="1362"/>
      <c r="D62" s="1142">
        <f t="shared" si="19"/>
        <v>12383</v>
      </c>
      <c r="E62" s="1142">
        <f t="shared" si="19"/>
        <v>-54</v>
      </c>
      <c r="F62" s="1142">
        <f t="shared" si="19"/>
        <v>12329</v>
      </c>
      <c r="G62" s="1142">
        <f>+'6.a. mell. PH'!D58</f>
        <v>2060</v>
      </c>
      <c r="H62" s="1142">
        <f>+'6.a. mell. PH'!E58</f>
        <v>0</v>
      </c>
      <c r="I62" s="1142">
        <f>+'6.a. mell. PH'!F58</f>
        <v>2060</v>
      </c>
      <c r="J62" s="1142">
        <f>+'6.b. mell. Óvoda'!D58</f>
        <v>10323</v>
      </c>
      <c r="K62" s="1142">
        <f>+'6.b. mell. Óvoda'!E58</f>
        <v>-54</v>
      </c>
      <c r="L62" s="1142">
        <f>+'6.b. mell. Óvoda'!F58</f>
        <v>10269</v>
      </c>
      <c r="M62" s="1142"/>
      <c r="N62" s="1142"/>
      <c r="O62" s="1142"/>
    </row>
    <row r="63" spans="1:15" s="571" customFormat="1" x14ac:dyDescent="0.25">
      <c r="A63" s="5" t="s">
        <v>81</v>
      </c>
      <c r="B63" s="1355" t="s">
        <v>151</v>
      </c>
      <c r="C63" s="1356"/>
      <c r="D63" s="966">
        <f t="shared" si="19"/>
        <v>58372</v>
      </c>
      <c r="E63" s="966">
        <f t="shared" si="19"/>
        <v>70</v>
      </c>
      <c r="F63" s="966">
        <f t="shared" si="19"/>
        <v>58442</v>
      </c>
      <c r="G63" s="966">
        <f>SUM(G58:G62)</f>
        <v>14442</v>
      </c>
      <c r="H63" s="966">
        <f t="shared" ref="H63:I63" si="20">SUM(H58:H62)</f>
        <v>70</v>
      </c>
      <c r="I63" s="966">
        <f t="shared" si="20"/>
        <v>14512</v>
      </c>
      <c r="J63" s="966">
        <f>SUM(J58:J62)</f>
        <v>43930</v>
      </c>
      <c r="K63" s="966">
        <f t="shared" ref="K63:L63" si="21">SUM(K58:K62)</f>
        <v>0</v>
      </c>
      <c r="L63" s="966">
        <f t="shared" si="21"/>
        <v>43930</v>
      </c>
      <c r="M63" s="966"/>
      <c r="N63" s="966"/>
      <c r="O63" s="966"/>
    </row>
    <row r="64" spans="1:15" s="571" customFormat="1" ht="11.25" customHeight="1" x14ac:dyDescent="0.25">
      <c r="A64" s="1357"/>
      <c r="B64" s="1357"/>
      <c r="C64" s="1357"/>
      <c r="D64" s="1143"/>
      <c r="E64" s="1143"/>
      <c r="F64" s="1143"/>
      <c r="G64" s="1143"/>
      <c r="H64" s="1143"/>
      <c r="I64" s="1143"/>
      <c r="J64" s="1143"/>
      <c r="K64" s="1143"/>
      <c r="L64" s="1143"/>
      <c r="M64" s="1143"/>
      <c r="N64" s="1143"/>
      <c r="O64" s="1143"/>
    </row>
    <row r="65" spans="1:15" s="571" customFormat="1" x14ac:dyDescent="0.25">
      <c r="A65" s="4" t="s">
        <v>101</v>
      </c>
      <c r="B65" s="1363" t="s">
        <v>725</v>
      </c>
      <c r="C65" s="1364"/>
      <c r="D65" s="1142">
        <f t="shared" ref="D65:F67" si="22">+G65+J65+M65</f>
        <v>0</v>
      </c>
      <c r="E65" s="1142">
        <f t="shared" si="22"/>
        <v>0</v>
      </c>
      <c r="F65" s="1142">
        <f t="shared" si="22"/>
        <v>0</v>
      </c>
      <c r="G65" s="1142">
        <f>+'6.a. mell. PH'!D61</f>
        <v>0</v>
      </c>
      <c r="H65" s="1142">
        <f>+'6.a. mell. PH'!E61</f>
        <v>0</v>
      </c>
      <c r="I65" s="1142">
        <f>+'6.a. mell. PH'!F61</f>
        <v>0</v>
      </c>
      <c r="J65" s="1142"/>
      <c r="K65" s="1142"/>
      <c r="L65" s="1142"/>
      <c r="M65" s="1142"/>
      <c r="N65" s="1142"/>
      <c r="O65" s="1142"/>
    </row>
    <row r="66" spans="1:15" s="571" customFormat="1" x14ac:dyDescent="0.25">
      <c r="A66" s="4" t="s">
        <v>107</v>
      </c>
      <c r="B66" s="1363" t="s">
        <v>164</v>
      </c>
      <c r="C66" s="1364"/>
      <c r="D66" s="1142">
        <f t="shared" si="22"/>
        <v>21913</v>
      </c>
      <c r="E66" s="1142">
        <f t="shared" si="22"/>
        <v>0</v>
      </c>
      <c r="F66" s="1142">
        <f t="shared" si="22"/>
        <v>21913</v>
      </c>
      <c r="G66" s="1142">
        <f>+'6.a. mell. PH'!D62</f>
        <v>7348</v>
      </c>
      <c r="H66" s="1142">
        <f>+'6.a. mell. PH'!E62</f>
        <v>0</v>
      </c>
      <c r="I66" s="1142">
        <f>+'6.a. mell. PH'!F62</f>
        <v>7348</v>
      </c>
      <c r="J66" s="1142">
        <f>+'6.b. mell. Óvoda'!D62</f>
        <v>14565</v>
      </c>
      <c r="K66" s="1142">
        <f>+'6.b. mell. Óvoda'!E62</f>
        <v>0</v>
      </c>
      <c r="L66" s="1142">
        <f>+'6.b. mell. Óvoda'!F62</f>
        <v>14565</v>
      </c>
      <c r="M66" s="1142"/>
      <c r="N66" s="1142"/>
      <c r="O66" s="1142"/>
    </row>
    <row r="67" spans="1:15" s="571" customFormat="1" x14ac:dyDescent="0.25">
      <c r="A67" s="5" t="s">
        <v>108</v>
      </c>
      <c r="B67" s="1355" t="s">
        <v>163</v>
      </c>
      <c r="C67" s="1356"/>
      <c r="D67" s="966">
        <f t="shared" si="22"/>
        <v>21913</v>
      </c>
      <c r="E67" s="966">
        <f t="shared" si="22"/>
        <v>0</v>
      </c>
      <c r="F67" s="966">
        <f t="shared" si="22"/>
        <v>21913</v>
      </c>
      <c r="G67" s="966">
        <f>+G66+G65</f>
        <v>7348</v>
      </c>
      <c r="H67" s="966">
        <f t="shared" ref="H67:I67" si="23">+H66+H65</f>
        <v>0</v>
      </c>
      <c r="I67" s="966">
        <f t="shared" si="23"/>
        <v>7348</v>
      </c>
      <c r="J67" s="966">
        <f>+J66+J65</f>
        <v>14565</v>
      </c>
      <c r="K67" s="966">
        <f t="shared" ref="K67:L67" si="24">+K66+K65</f>
        <v>0</v>
      </c>
      <c r="L67" s="966">
        <f t="shared" si="24"/>
        <v>14565</v>
      </c>
      <c r="M67" s="966"/>
      <c r="N67" s="966"/>
      <c r="O67" s="966"/>
    </row>
    <row r="68" spans="1:15" s="571" customFormat="1" x14ac:dyDescent="0.25">
      <c r="A68" s="1357"/>
      <c r="B68" s="1357"/>
      <c r="C68" s="1357"/>
      <c r="D68" s="1143"/>
      <c r="E68" s="1143"/>
      <c r="F68" s="1143"/>
      <c r="G68" s="1143"/>
      <c r="H68" s="1143"/>
      <c r="I68" s="1143"/>
      <c r="J68" s="1143"/>
      <c r="K68" s="1143"/>
      <c r="L68" s="1143"/>
      <c r="M68" s="1143"/>
      <c r="N68" s="1143"/>
      <c r="O68" s="1143"/>
    </row>
    <row r="69" spans="1:15" s="571" customFormat="1" x14ac:dyDescent="0.25">
      <c r="A69" s="5" t="s">
        <v>123</v>
      </c>
      <c r="B69" s="1355" t="s">
        <v>161</v>
      </c>
      <c r="C69" s="1356"/>
      <c r="D69" s="966">
        <f>+G69+J69+M69</f>
        <v>2000</v>
      </c>
      <c r="E69" s="966">
        <f>+H69+K69+N69</f>
        <v>0</v>
      </c>
      <c r="F69" s="966">
        <f>+I69+L69+O69</f>
        <v>2000</v>
      </c>
      <c r="G69" s="966">
        <f>+'6.a. mell. PH'!D74</f>
        <v>1000</v>
      </c>
      <c r="H69" s="966">
        <f>+'6.a. mell. PH'!E74</f>
        <v>0</v>
      </c>
      <c r="I69" s="966">
        <f>+'6.a. mell. PH'!F74</f>
        <v>1000</v>
      </c>
      <c r="J69" s="966">
        <f>+'6.b. mell. Óvoda'!D74</f>
        <v>1000</v>
      </c>
      <c r="K69" s="966">
        <f>+'6.b. mell. Óvoda'!E74</f>
        <v>0</v>
      </c>
      <c r="L69" s="966">
        <f>+'6.b. mell. Óvoda'!F74</f>
        <v>1000</v>
      </c>
      <c r="M69" s="966">
        <f>+'6.c. mell. BBKP'!D76</f>
        <v>0</v>
      </c>
      <c r="N69" s="966">
        <f>+'6.c. mell. BBKP'!E76</f>
        <v>0</v>
      </c>
      <c r="O69" s="966">
        <f>+'6.c. mell. BBKP'!F76</f>
        <v>0</v>
      </c>
    </row>
    <row r="70" spans="1:15" s="571" customFormat="1" x14ac:dyDescent="0.25">
      <c r="A70" s="1357"/>
      <c r="B70" s="1357"/>
      <c r="C70" s="1357"/>
      <c r="D70" s="1143"/>
      <c r="E70" s="1143"/>
      <c r="F70" s="1143"/>
      <c r="G70" s="1143"/>
      <c r="H70" s="1143"/>
      <c r="I70" s="1143"/>
      <c r="J70" s="1143"/>
      <c r="K70" s="1143"/>
      <c r="L70" s="1143"/>
      <c r="M70" s="1143"/>
      <c r="N70" s="1143"/>
      <c r="O70" s="1143"/>
    </row>
    <row r="71" spans="1:15" s="571" customFormat="1" x14ac:dyDescent="0.25">
      <c r="A71" s="5" t="s">
        <v>132</v>
      </c>
      <c r="B71" s="1355" t="s">
        <v>160</v>
      </c>
      <c r="C71" s="1356"/>
      <c r="D71" s="966">
        <f>+G71+J71+M71</f>
        <v>0</v>
      </c>
      <c r="E71" s="966">
        <f>+H71+K71+N71</f>
        <v>0</v>
      </c>
      <c r="F71" s="966">
        <f>+I71+L71+O71</f>
        <v>0</v>
      </c>
      <c r="G71" s="966">
        <f>+'6.a. mell. PH'!D80</f>
        <v>0</v>
      </c>
      <c r="H71" s="966">
        <f>+'6.a. mell. PH'!E80</f>
        <v>0</v>
      </c>
      <c r="I71" s="966">
        <f>+'6.a. mell. PH'!F80</f>
        <v>0</v>
      </c>
      <c r="J71" s="966">
        <f>+'6.b. mell. Óvoda'!D81</f>
        <v>0</v>
      </c>
      <c r="K71" s="966">
        <f>+'6.b. mell. Óvoda'!E81</f>
        <v>0</v>
      </c>
      <c r="L71" s="966">
        <f>+'6.b. mell. Óvoda'!F81</f>
        <v>0</v>
      </c>
      <c r="M71" s="966">
        <f>+'6.c. mell. BBKP'!D82</f>
        <v>0</v>
      </c>
      <c r="N71" s="966">
        <f>+'6.c. mell. BBKP'!E82</f>
        <v>0</v>
      </c>
      <c r="O71" s="966">
        <f>+'6.c. mell. BBKP'!F82</f>
        <v>0</v>
      </c>
    </row>
    <row r="72" spans="1:15" s="571" customFormat="1" x14ac:dyDescent="0.25">
      <c r="A72" s="1357"/>
      <c r="B72" s="1357"/>
      <c r="C72" s="1357"/>
      <c r="D72" s="1143"/>
      <c r="E72" s="1143"/>
      <c r="F72" s="1143"/>
      <c r="G72" s="1143"/>
      <c r="H72" s="1143"/>
      <c r="I72" s="1143"/>
      <c r="J72" s="1143"/>
      <c r="K72" s="1143"/>
      <c r="L72" s="1143"/>
      <c r="M72" s="1143"/>
      <c r="N72" s="1143"/>
      <c r="O72" s="1143"/>
    </row>
    <row r="73" spans="1:15" s="571" customFormat="1" x14ac:dyDescent="0.25">
      <c r="A73" s="5" t="s">
        <v>134</v>
      </c>
      <c r="B73" s="1355" t="s">
        <v>158</v>
      </c>
      <c r="C73" s="1356"/>
      <c r="D73" s="966">
        <f>+G73+J73+M73</f>
        <v>0</v>
      </c>
      <c r="E73" s="966">
        <f>+H73+K73+N73</f>
        <v>0</v>
      </c>
      <c r="F73" s="966">
        <f>+I73+L73+O73</f>
        <v>0</v>
      </c>
      <c r="G73" s="966">
        <f>+'6.a. mell. PH'!D82</f>
        <v>0</v>
      </c>
      <c r="H73" s="966">
        <f>+'6.a. mell. PH'!E82</f>
        <v>0</v>
      </c>
      <c r="I73" s="966">
        <f>+'6.a. mell. PH'!F82</f>
        <v>0</v>
      </c>
      <c r="J73" s="966">
        <f>+'6.b. mell. Óvoda'!D83</f>
        <v>0</v>
      </c>
      <c r="K73" s="966">
        <f>+'6.b. mell. Óvoda'!E83</f>
        <v>0</v>
      </c>
      <c r="L73" s="966">
        <f>+'6.b. mell. Óvoda'!F83</f>
        <v>0</v>
      </c>
      <c r="M73" s="966"/>
      <c r="N73" s="966"/>
      <c r="O73" s="966"/>
    </row>
    <row r="74" spans="1:15" s="571" customFormat="1" x14ac:dyDescent="0.25">
      <c r="A74" s="1357"/>
      <c r="B74" s="1357"/>
      <c r="C74" s="1357"/>
      <c r="D74" s="1143"/>
      <c r="E74" s="1143"/>
      <c r="F74" s="1143"/>
      <c r="G74" s="1143"/>
      <c r="H74" s="1143"/>
      <c r="I74" s="1143"/>
      <c r="J74" s="1143"/>
      <c r="K74" s="1143"/>
      <c r="L74" s="1143"/>
      <c r="M74" s="1143"/>
      <c r="N74" s="1143"/>
      <c r="O74" s="1143"/>
    </row>
    <row r="75" spans="1:15" s="571" customFormat="1" x14ac:dyDescent="0.25">
      <c r="A75" s="5" t="s">
        <v>135</v>
      </c>
      <c r="B75" s="1355" t="s">
        <v>157</v>
      </c>
      <c r="C75" s="1356"/>
      <c r="D75" s="966">
        <f>+G75+J75+M75</f>
        <v>458731</v>
      </c>
      <c r="E75" s="966">
        <f>+H75+K75+N75</f>
        <v>1965</v>
      </c>
      <c r="F75" s="966">
        <f>+I75+L75+O75</f>
        <v>460696</v>
      </c>
      <c r="G75" s="966">
        <f>+G73+G71+G69+G67+G63+G56+G55</f>
        <v>231817</v>
      </c>
      <c r="H75" s="966">
        <f t="shared" ref="H75:I75" si="25">+H73+H71+H69+H67+H63+H56+H55</f>
        <v>1539</v>
      </c>
      <c r="I75" s="966">
        <f t="shared" si="25"/>
        <v>233356</v>
      </c>
      <c r="J75" s="966">
        <f>+J73+J71+J69+J67+J63+J56+J55</f>
        <v>226914</v>
      </c>
      <c r="K75" s="966">
        <f t="shared" ref="K75:L75" si="26">+K73+K71+K69+K67+K63+K56+K55</f>
        <v>426</v>
      </c>
      <c r="L75" s="966">
        <f t="shared" si="26"/>
        <v>227340</v>
      </c>
      <c r="M75" s="966">
        <f>+M73+M71+M69+M67+M63+M56+M55</f>
        <v>0</v>
      </c>
      <c r="N75" s="966">
        <f t="shared" ref="N75:O75" si="27">+N73+N71+N69+N67+N63+N56+N55</f>
        <v>0</v>
      </c>
      <c r="O75" s="966">
        <f t="shared" si="27"/>
        <v>0</v>
      </c>
    </row>
    <row r="76" spans="1:15" s="571" customFormat="1" x14ac:dyDescent="0.25">
      <c r="A76" s="1357"/>
      <c r="B76" s="1357"/>
      <c r="C76" s="1357"/>
      <c r="D76" s="1143"/>
      <c r="E76" s="1143"/>
      <c r="F76" s="1143"/>
      <c r="G76" s="1143"/>
      <c r="H76" s="1143"/>
      <c r="I76" s="1143"/>
      <c r="J76" s="1143"/>
      <c r="K76" s="1143"/>
      <c r="L76" s="1143"/>
      <c r="M76" s="1143"/>
      <c r="N76" s="1143"/>
      <c r="O76" s="1143"/>
    </row>
    <row r="77" spans="1:15" s="571" customFormat="1" x14ac:dyDescent="0.25">
      <c r="A77" s="1179" t="s">
        <v>268</v>
      </c>
      <c r="B77" s="1180" t="s">
        <v>274</v>
      </c>
      <c r="C77" s="1180"/>
      <c r="D77" s="966">
        <f>+G77+J77+M77</f>
        <v>0</v>
      </c>
      <c r="E77" s="966">
        <f>+H77+K77+N77</f>
        <v>0</v>
      </c>
      <c r="F77" s="966">
        <f>+I77+L77+O77</f>
        <v>0</v>
      </c>
      <c r="G77" s="966">
        <v>0</v>
      </c>
      <c r="H77" s="966">
        <v>0</v>
      </c>
      <c r="I77" s="966">
        <v>0</v>
      </c>
      <c r="J77" s="966">
        <v>0</v>
      </c>
      <c r="K77" s="966">
        <v>0</v>
      </c>
      <c r="L77" s="966">
        <v>0</v>
      </c>
      <c r="M77" s="966">
        <v>0</v>
      </c>
      <c r="N77" s="966">
        <v>0</v>
      </c>
      <c r="O77" s="966">
        <v>0</v>
      </c>
    </row>
    <row r="78" spans="1:15" s="571" customFormat="1" x14ac:dyDescent="0.25">
      <c r="A78" s="1357"/>
      <c r="B78" s="1357"/>
      <c r="C78" s="1357"/>
      <c r="D78" s="1143"/>
      <c r="E78" s="1143"/>
      <c r="F78" s="1143"/>
      <c r="G78" s="1143"/>
      <c r="H78" s="1143"/>
      <c r="I78" s="1143"/>
      <c r="J78" s="1143"/>
      <c r="K78" s="1143"/>
      <c r="L78" s="1143"/>
      <c r="M78" s="1143"/>
      <c r="N78" s="1143"/>
      <c r="O78" s="1143"/>
    </row>
    <row r="79" spans="1:15" s="571" customFormat="1" x14ac:dyDescent="0.25">
      <c r="A79" s="1358" t="s">
        <v>285</v>
      </c>
      <c r="B79" s="1359"/>
      <c r="C79" s="1360"/>
      <c r="D79" s="966">
        <f>+G79+J79+M79</f>
        <v>458731</v>
      </c>
      <c r="E79" s="966">
        <f>+H79+K79+N79</f>
        <v>1965</v>
      </c>
      <c r="F79" s="966">
        <f>+I79+L79+O79</f>
        <v>460696</v>
      </c>
      <c r="G79" s="966">
        <f>+G77+G75</f>
        <v>231817</v>
      </c>
      <c r="H79" s="966">
        <f t="shared" ref="H79:I79" si="28">+H77+H75</f>
        <v>1539</v>
      </c>
      <c r="I79" s="966">
        <f t="shared" si="28"/>
        <v>233356</v>
      </c>
      <c r="J79" s="966">
        <f>+J77+J75</f>
        <v>226914</v>
      </c>
      <c r="K79" s="966">
        <f t="shared" ref="K79:L79" si="29">+K77+K75</f>
        <v>426</v>
      </c>
      <c r="L79" s="966">
        <f t="shared" si="29"/>
        <v>227340</v>
      </c>
      <c r="M79" s="966">
        <f>+M77+M75</f>
        <v>0</v>
      </c>
      <c r="N79" s="966">
        <f t="shared" ref="N79:O79" si="30">+N77+N75</f>
        <v>0</v>
      </c>
      <c r="O79" s="966">
        <f t="shared" si="30"/>
        <v>0</v>
      </c>
    </row>
    <row r="80" spans="1:15" s="571" customFormat="1" x14ac:dyDescent="0.25"/>
    <row r="81" s="571" customFormat="1" x14ac:dyDescent="0.25"/>
    <row r="82" s="571" customFormat="1" x14ac:dyDescent="0.25"/>
    <row r="83" s="571" customFormat="1" x14ac:dyDescent="0.25"/>
    <row r="84" s="571" customFormat="1" x14ac:dyDescent="0.25"/>
    <row r="85" s="571" customFormat="1" x14ac:dyDescent="0.25"/>
  </sheetData>
  <mergeCells count="82">
    <mergeCell ref="M51:O51"/>
    <mergeCell ref="M2:O2"/>
    <mergeCell ref="J2:L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56:C56"/>
    <mergeCell ref="B48:C48"/>
    <mergeCell ref="A49:C49"/>
    <mergeCell ref="A51:A52"/>
    <mergeCell ref="B51:C52"/>
    <mergeCell ref="J51:L51"/>
    <mergeCell ref="B53:C53"/>
    <mergeCell ref="B54:C54"/>
    <mergeCell ref="B55:C55"/>
    <mergeCell ref="D51:F51"/>
    <mergeCell ref="G51:I51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2021.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J88" sqref="J88"/>
    </sheetView>
  </sheetViews>
  <sheetFormatPr defaultColWidth="9.140625" defaultRowHeight="15" x14ac:dyDescent="0.25"/>
  <cols>
    <col min="1" max="1" width="9.140625" style="953"/>
    <col min="2" max="2" width="7.140625" style="21" customWidth="1"/>
    <col min="3" max="3" width="48.85546875" style="21" customWidth="1"/>
    <col min="4" max="4" width="12.140625" style="50" customWidth="1"/>
    <col min="5" max="5" width="9.5703125" style="50" bestFit="1" customWidth="1"/>
    <col min="6" max="6" width="10.85546875" style="600" customWidth="1"/>
    <col min="7" max="16384" width="9.140625" style="1"/>
  </cols>
  <sheetData>
    <row r="1" spans="1:6" ht="18.75" customHeight="1" x14ac:dyDescent="0.25">
      <c r="D1" s="1400" t="s">
        <v>383</v>
      </c>
      <c r="E1" s="1400"/>
      <c r="F1" s="1400"/>
    </row>
    <row r="2" spans="1:6" ht="39.75" customHeight="1" x14ac:dyDescent="0.25">
      <c r="A2" s="1376" t="s">
        <v>0</v>
      </c>
      <c r="B2" s="1404" t="s">
        <v>182</v>
      </c>
      <c r="C2" s="1397"/>
      <c r="D2" s="1408" t="s">
        <v>292</v>
      </c>
      <c r="E2" s="1408"/>
      <c r="F2" s="1408"/>
    </row>
    <row r="3" spans="1:6" s="2" customFormat="1" ht="11.25" customHeight="1" x14ac:dyDescent="0.25">
      <c r="A3" s="1402"/>
      <c r="B3" s="1405"/>
      <c r="C3" s="1406"/>
      <c r="D3" s="288" t="s">
        <v>944</v>
      </c>
      <c r="E3" s="288" t="s">
        <v>684</v>
      </c>
      <c r="F3" s="1107" t="s">
        <v>940</v>
      </c>
    </row>
    <row r="4" spans="1:6" s="61" customFormat="1" ht="13.5" customHeight="1" x14ac:dyDescent="0.25">
      <c r="A4" s="1377"/>
      <c r="B4" s="1407"/>
      <c r="C4" s="1399"/>
      <c r="D4" s="1409" t="s">
        <v>189</v>
      </c>
      <c r="E4" s="1410"/>
      <c r="F4" s="1411"/>
    </row>
    <row r="5" spans="1:6" ht="12" customHeight="1" x14ac:dyDescent="0.25">
      <c r="A5" s="12" t="s">
        <v>2</v>
      </c>
      <c r="B5" s="1236" t="s">
        <v>1</v>
      </c>
      <c r="C5" s="1236"/>
      <c r="D5" s="23">
        <v>152762</v>
      </c>
      <c r="E5" s="22">
        <f>-867-466-66+27-59-884</f>
        <v>-2315</v>
      </c>
      <c r="F5" s="967">
        <f>+D5+E5</f>
        <v>150447</v>
      </c>
    </row>
    <row r="6" spans="1:6" ht="12" customHeight="1" x14ac:dyDescent="0.25">
      <c r="A6" s="4" t="s">
        <v>4</v>
      </c>
      <c r="B6" s="1236" t="s">
        <v>3</v>
      </c>
      <c r="C6" s="1236"/>
      <c r="D6" s="23"/>
      <c r="E6" s="22"/>
      <c r="F6" s="967">
        <f t="shared" ref="F6:F18" si="0">+D6+E6</f>
        <v>0</v>
      </c>
    </row>
    <row r="7" spans="1:6" ht="12" customHeight="1" x14ac:dyDescent="0.25">
      <c r="A7" s="4" t="s">
        <v>6</v>
      </c>
      <c r="B7" s="1236" t="s">
        <v>5</v>
      </c>
      <c r="C7" s="1236"/>
      <c r="D7" s="23">
        <v>12341</v>
      </c>
      <c r="E7" s="22"/>
      <c r="F7" s="967">
        <f t="shared" si="0"/>
        <v>12341</v>
      </c>
    </row>
    <row r="8" spans="1:6" ht="12" customHeight="1" x14ac:dyDescent="0.25">
      <c r="A8" s="4" t="s">
        <v>8</v>
      </c>
      <c r="B8" s="1236" t="s">
        <v>7</v>
      </c>
      <c r="C8" s="1236"/>
      <c r="D8" s="23">
        <v>1578</v>
      </c>
      <c r="E8" s="22">
        <f>867+466+466</f>
        <v>1799</v>
      </c>
      <c r="F8" s="967">
        <f t="shared" si="0"/>
        <v>3377</v>
      </c>
    </row>
    <row r="9" spans="1:6" ht="12" customHeight="1" x14ac:dyDescent="0.25">
      <c r="A9" s="4" t="s">
        <v>10</v>
      </c>
      <c r="B9" s="1236" t="s">
        <v>9</v>
      </c>
      <c r="C9" s="1236"/>
      <c r="D9" s="23"/>
      <c r="E9" s="22"/>
      <c r="F9" s="967">
        <f t="shared" si="0"/>
        <v>0</v>
      </c>
    </row>
    <row r="10" spans="1:6" ht="12" customHeight="1" x14ac:dyDescent="0.25">
      <c r="A10" s="4" t="s">
        <v>12</v>
      </c>
      <c r="B10" s="1236" t="s">
        <v>11</v>
      </c>
      <c r="C10" s="1236"/>
      <c r="D10" s="23"/>
      <c r="E10" s="23"/>
      <c r="F10" s="967">
        <f t="shared" si="0"/>
        <v>0</v>
      </c>
    </row>
    <row r="11" spans="1:6" ht="12" customHeight="1" x14ac:dyDescent="0.25">
      <c r="A11" s="4" t="s">
        <v>14</v>
      </c>
      <c r="B11" s="1236" t="s">
        <v>13</v>
      </c>
      <c r="C11" s="1236"/>
      <c r="D11" s="23">
        <v>5676</v>
      </c>
      <c r="E11" s="23"/>
      <c r="F11" s="967">
        <f t="shared" si="0"/>
        <v>5676</v>
      </c>
    </row>
    <row r="12" spans="1:6" ht="12" customHeight="1" x14ac:dyDescent="0.25">
      <c r="A12" s="4" t="s">
        <v>16</v>
      </c>
      <c r="B12" s="1236" t="s">
        <v>15</v>
      </c>
      <c r="C12" s="1236"/>
      <c r="D12" s="23"/>
      <c r="E12" s="23"/>
      <c r="F12" s="967">
        <f t="shared" si="0"/>
        <v>0</v>
      </c>
    </row>
    <row r="13" spans="1:6" ht="12" customHeight="1" x14ac:dyDescent="0.25">
      <c r="A13" s="4" t="s">
        <v>18</v>
      </c>
      <c r="B13" s="1236" t="s">
        <v>17</v>
      </c>
      <c r="C13" s="1236"/>
      <c r="D13" s="23">
        <v>1863</v>
      </c>
      <c r="E13" s="23"/>
      <c r="F13" s="967">
        <f t="shared" si="0"/>
        <v>1863</v>
      </c>
    </row>
    <row r="14" spans="1:6" ht="12" customHeight="1" x14ac:dyDescent="0.25">
      <c r="A14" s="4" t="s">
        <v>20</v>
      </c>
      <c r="B14" s="1236" t="s">
        <v>19</v>
      </c>
      <c r="C14" s="1236"/>
      <c r="D14" s="23">
        <v>155</v>
      </c>
      <c r="E14" s="23"/>
      <c r="F14" s="967">
        <f t="shared" si="0"/>
        <v>155</v>
      </c>
    </row>
    <row r="15" spans="1:6" ht="12" customHeight="1" x14ac:dyDescent="0.25">
      <c r="A15" s="4" t="s">
        <v>22</v>
      </c>
      <c r="B15" s="1236" t="s">
        <v>21</v>
      </c>
      <c r="C15" s="1236"/>
      <c r="D15" s="23">
        <v>1245</v>
      </c>
      <c r="E15" s="23"/>
      <c r="F15" s="967">
        <f t="shared" si="0"/>
        <v>1245</v>
      </c>
    </row>
    <row r="16" spans="1:6" ht="12" customHeight="1" x14ac:dyDescent="0.25">
      <c r="A16" s="4" t="s">
        <v>24</v>
      </c>
      <c r="B16" s="1236" t="s">
        <v>23</v>
      </c>
      <c r="C16" s="1236"/>
      <c r="D16" s="23">
        <v>540</v>
      </c>
      <c r="E16" s="23">
        <f>-27+59+136</f>
        <v>168</v>
      </c>
      <c r="F16" s="967">
        <f t="shared" si="0"/>
        <v>708</v>
      </c>
    </row>
    <row r="17" spans="1:6" ht="12" customHeight="1" x14ac:dyDescent="0.25">
      <c r="A17" s="4" t="s">
        <v>25</v>
      </c>
      <c r="B17" s="1236" t="s">
        <v>175</v>
      </c>
      <c r="C17" s="1236"/>
      <c r="D17" s="23">
        <v>2289</v>
      </c>
      <c r="E17" s="23">
        <f>580+181-66+921</f>
        <v>1616</v>
      </c>
      <c r="F17" s="967">
        <f t="shared" si="0"/>
        <v>3905</v>
      </c>
    </row>
    <row r="18" spans="1:6" ht="12" customHeight="1" x14ac:dyDescent="0.25">
      <c r="A18" s="4" t="s">
        <v>25</v>
      </c>
      <c r="B18" s="1236" t="s">
        <v>26</v>
      </c>
      <c r="C18" s="1236"/>
      <c r="D18" s="23"/>
      <c r="E18" s="23"/>
      <c r="F18" s="967">
        <f t="shared" si="0"/>
        <v>0</v>
      </c>
    </row>
    <row r="19" spans="1:6" ht="12" customHeight="1" x14ac:dyDescent="0.25">
      <c r="A19" s="5" t="s">
        <v>27</v>
      </c>
      <c r="B19" s="1240" t="s">
        <v>174</v>
      </c>
      <c r="C19" s="1240"/>
      <c r="D19" s="47">
        <f>SUM(D5:D18)</f>
        <v>178449</v>
      </c>
      <c r="E19" s="47">
        <f>SUM(E5:E18)</f>
        <v>1268</v>
      </c>
      <c r="F19" s="703">
        <f>SUM(F5:F18)</f>
        <v>179717</v>
      </c>
    </row>
    <row r="20" spans="1:6" ht="12" customHeight="1" x14ac:dyDescent="0.25">
      <c r="A20" s="4" t="s">
        <v>29</v>
      </c>
      <c r="B20" s="1236" t="s">
        <v>28</v>
      </c>
      <c r="C20" s="1236"/>
      <c r="D20" s="23"/>
      <c r="E20" s="23"/>
      <c r="F20" s="967">
        <f t="shared" ref="F20:F22" si="1">+D20+E20</f>
        <v>0</v>
      </c>
    </row>
    <row r="21" spans="1:6" ht="12" customHeight="1" x14ac:dyDescent="0.25">
      <c r="A21" s="4" t="s">
        <v>629</v>
      </c>
      <c r="B21" s="1236" t="s">
        <v>30</v>
      </c>
      <c r="C21" s="1236"/>
      <c r="D21" s="23"/>
      <c r="E21" s="23"/>
      <c r="F21" s="967">
        <f t="shared" si="1"/>
        <v>0</v>
      </c>
    </row>
    <row r="22" spans="1:6" ht="12" customHeight="1" x14ac:dyDescent="0.25">
      <c r="A22" s="4" t="s">
        <v>32</v>
      </c>
      <c r="B22" s="1236" t="s">
        <v>31</v>
      </c>
      <c r="C22" s="1236"/>
      <c r="D22" s="23">
        <v>30</v>
      </c>
      <c r="E22" s="23"/>
      <c r="F22" s="967">
        <f t="shared" si="1"/>
        <v>30</v>
      </c>
    </row>
    <row r="23" spans="1:6" ht="12" customHeight="1" x14ac:dyDescent="0.25">
      <c r="A23" s="5" t="s">
        <v>33</v>
      </c>
      <c r="B23" s="1240" t="s">
        <v>173</v>
      </c>
      <c r="C23" s="1240"/>
      <c r="D23" s="47">
        <f>SUM(D20:D22)</f>
        <v>30</v>
      </c>
      <c r="E23" s="47">
        <f>SUM(E20:E22)</f>
        <v>0</v>
      </c>
      <c r="F23" s="703">
        <f>SUM(F20:F22)</f>
        <v>30</v>
      </c>
    </row>
    <row r="24" spans="1:6" s="38" customFormat="1" ht="12" customHeight="1" x14ac:dyDescent="0.25">
      <c r="A24" s="6" t="s">
        <v>34</v>
      </c>
      <c r="B24" s="1239" t="s">
        <v>172</v>
      </c>
      <c r="C24" s="1239"/>
      <c r="D24" s="45">
        <f>+D23+D19</f>
        <v>178479</v>
      </c>
      <c r="E24" s="45">
        <f>+E23+E19</f>
        <v>1268</v>
      </c>
      <c r="F24" s="969">
        <f>+F23+F19</f>
        <v>179747</v>
      </c>
    </row>
    <row r="25" spans="1:6" ht="10.5" customHeight="1" x14ac:dyDescent="0.25">
      <c r="A25" s="7"/>
      <c r="B25" s="8"/>
      <c r="C25" s="8"/>
      <c r="D25" s="24"/>
      <c r="E25" s="24"/>
      <c r="F25" s="1061"/>
    </row>
    <row r="26" spans="1:6" s="38" customFormat="1" ht="12" customHeight="1" x14ac:dyDescent="0.25">
      <c r="A26" s="9" t="s">
        <v>35</v>
      </c>
      <c r="B26" s="1239" t="s">
        <v>171</v>
      </c>
      <c r="C26" s="1239"/>
      <c r="D26" s="44">
        <f>SUM(D27:D31)</f>
        <v>30548</v>
      </c>
      <c r="E26" s="44">
        <f>SUM(E27:E31)</f>
        <v>201</v>
      </c>
      <c r="F26" s="1080">
        <f>SUM(F27:F31)</f>
        <v>30749</v>
      </c>
    </row>
    <row r="27" spans="1:6" ht="12" customHeight="1" x14ac:dyDescent="0.25">
      <c r="A27" s="28" t="s">
        <v>35</v>
      </c>
      <c r="B27" s="33"/>
      <c r="C27" s="29" t="s">
        <v>36</v>
      </c>
      <c r="D27" s="23">
        <v>26847</v>
      </c>
      <c r="E27" s="23">
        <f>90+33+78</f>
        <v>201</v>
      </c>
      <c r="F27" s="967">
        <f t="shared" ref="F27:F31" si="2">+D27+E27</f>
        <v>27048</v>
      </c>
    </row>
    <row r="28" spans="1:6" ht="12" customHeight="1" x14ac:dyDescent="0.25">
      <c r="A28" s="28" t="s">
        <v>35</v>
      </c>
      <c r="B28" s="33"/>
      <c r="C28" s="29" t="s">
        <v>37</v>
      </c>
      <c r="D28" s="23">
        <v>2898</v>
      </c>
      <c r="E28" s="23"/>
      <c r="F28" s="967">
        <f t="shared" si="2"/>
        <v>2898</v>
      </c>
    </row>
    <row r="29" spans="1:6" ht="12" customHeight="1" x14ac:dyDescent="0.25">
      <c r="A29" s="28" t="s">
        <v>35</v>
      </c>
      <c r="B29" s="33"/>
      <c r="C29" s="29" t="s">
        <v>38</v>
      </c>
      <c r="D29" s="23">
        <v>8</v>
      </c>
      <c r="E29" s="23"/>
      <c r="F29" s="967">
        <f t="shared" si="2"/>
        <v>8</v>
      </c>
    </row>
    <row r="30" spans="1:6" ht="12" customHeight="1" x14ac:dyDescent="0.25">
      <c r="A30" s="28" t="s">
        <v>35</v>
      </c>
      <c r="B30" s="33"/>
      <c r="C30" s="29" t="s">
        <v>39</v>
      </c>
      <c r="D30" s="23"/>
      <c r="E30" s="23"/>
      <c r="F30" s="967">
        <f t="shared" si="2"/>
        <v>0</v>
      </c>
    </row>
    <row r="31" spans="1:6" ht="12" customHeight="1" x14ac:dyDescent="0.25">
      <c r="A31" s="30" t="s">
        <v>35</v>
      </c>
      <c r="B31" s="33"/>
      <c r="C31" s="29" t="s">
        <v>40</v>
      </c>
      <c r="D31" s="23">
        <v>795</v>
      </c>
      <c r="E31" s="808"/>
      <c r="F31" s="967">
        <f t="shared" si="2"/>
        <v>795</v>
      </c>
    </row>
    <row r="32" spans="1:6" ht="8.25" customHeight="1" x14ac:dyDescent="0.25">
      <c r="A32" s="10"/>
      <c r="B32" s="19"/>
      <c r="C32" s="11"/>
      <c r="D32" s="24"/>
      <c r="E32" s="24"/>
      <c r="F32" s="1061"/>
    </row>
    <row r="33" spans="1:6" ht="12" customHeight="1" x14ac:dyDescent="0.25">
      <c r="A33" s="12" t="s">
        <v>42</v>
      </c>
      <c r="B33" s="1238" t="s">
        <v>41</v>
      </c>
      <c r="C33" s="1238"/>
      <c r="D33" s="23">
        <v>365</v>
      </c>
      <c r="E33" s="26"/>
      <c r="F33" s="967">
        <f t="shared" ref="F33:F35" si="3">+D33+E33</f>
        <v>365</v>
      </c>
    </row>
    <row r="34" spans="1:6" ht="12" customHeight="1" x14ac:dyDescent="0.25">
      <c r="A34" s="4" t="s">
        <v>44</v>
      </c>
      <c r="B34" s="1236" t="s">
        <v>43</v>
      </c>
      <c r="C34" s="1236"/>
      <c r="D34" s="23">
        <v>2142</v>
      </c>
      <c r="E34" s="23"/>
      <c r="F34" s="967">
        <f t="shared" si="3"/>
        <v>2142</v>
      </c>
    </row>
    <row r="35" spans="1:6" ht="12" customHeight="1" x14ac:dyDescent="0.25">
      <c r="A35" s="4" t="s">
        <v>46</v>
      </c>
      <c r="B35" s="1236" t="s">
        <v>45</v>
      </c>
      <c r="C35" s="1236"/>
      <c r="D35" s="23"/>
      <c r="E35" s="23"/>
      <c r="F35" s="967">
        <f t="shared" si="3"/>
        <v>0</v>
      </c>
    </row>
    <row r="36" spans="1:6" s="38" customFormat="1" ht="12" customHeight="1" x14ac:dyDescent="0.25">
      <c r="A36" s="5" t="s">
        <v>47</v>
      </c>
      <c r="B36" s="1240" t="s">
        <v>170</v>
      </c>
      <c r="C36" s="1240"/>
      <c r="D36" s="47">
        <f>SUM(D33:D35)</f>
        <v>2507</v>
      </c>
      <c r="E36" s="47">
        <f t="shared" ref="E36" si="4">SUM(E33:E35)</f>
        <v>0</v>
      </c>
      <c r="F36" s="703">
        <f t="shared" ref="F36" si="5">SUM(F33:F35)</f>
        <v>2507</v>
      </c>
    </row>
    <row r="37" spans="1:6" ht="12" customHeight="1" x14ac:dyDescent="0.25">
      <c r="A37" s="4" t="s">
        <v>49</v>
      </c>
      <c r="B37" s="1236" t="s">
        <v>48</v>
      </c>
      <c r="C37" s="1236"/>
      <c r="D37" s="23">
        <v>1300</v>
      </c>
      <c r="E37" s="23"/>
      <c r="F37" s="967">
        <f t="shared" ref="F37:F38" si="6">+D37+E37</f>
        <v>1300</v>
      </c>
    </row>
    <row r="38" spans="1:6" ht="12" customHeight="1" x14ac:dyDescent="0.25">
      <c r="A38" s="4" t="s">
        <v>51</v>
      </c>
      <c r="B38" s="1236" t="s">
        <v>50</v>
      </c>
      <c r="C38" s="1236"/>
      <c r="D38" s="23">
        <v>800</v>
      </c>
      <c r="E38" s="23"/>
      <c r="F38" s="967">
        <f t="shared" si="6"/>
        <v>800</v>
      </c>
    </row>
    <row r="39" spans="1:6" s="38" customFormat="1" ht="12" customHeight="1" x14ac:dyDescent="0.25">
      <c r="A39" s="5" t="s">
        <v>52</v>
      </c>
      <c r="B39" s="1240" t="s">
        <v>169</v>
      </c>
      <c r="C39" s="1240"/>
      <c r="D39" s="47">
        <f>SUM(D37:D38)</f>
        <v>2100</v>
      </c>
      <c r="E39" s="47">
        <f t="shared" ref="E39" si="7">SUM(E37:E38)</f>
        <v>0</v>
      </c>
      <c r="F39" s="703">
        <f t="shared" ref="F39" si="8">SUM(F37:F38)</f>
        <v>2100</v>
      </c>
    </row>
    <row r="40" spans="1:6" ht="12" customHeight="1" x14ac:dyDescent="0.25">
      <c r="A40" s="4" t="s">
        <v>54</v>
      </c>
      <c r="B40" s="1236" t="s">
        <v>53</v>
      </c>
      <c r="C40" s="1236"/>
      <c r="D40" s="23"/>
      <c r="E40" s="23"/>
      <c r="F40" s="967">
        <f t="shared" ref="F40:F44" si="9">+D40+E40</f>
        <v>0</v>
      </c>
    </row>
    <row r="41" spans="1:6" ht="12" customHeight="1" x14ac:dyDescent="0.25">
      <c r="A41" s="4" t="s">
        <v>56</v>
      </c>
      <c r="B41" s="1236" t="s">
        <v>55</v>
      </c>
      <c r="C41" s="1236"/>
      <c r="D41" s="23"/>
      <c r="E41" s="23"/>
      <c r="F41" s="967">
        <f t="shared" si="9"/>
        <v>0</v>
      </c>
    </row>
    <row r="42" spans="1:6" ht="12" customHeight="1" x14ac:dyDescent="0.25">
      <c r="A42" s="4" t="s">
        <v>57</v>
      </c>
      <c r="B42" s="1236" t="s">
        <v>167</v>
      </c>
      <c r="C42" s="1236"/>
      <c r="D42" s="23"/>
      <c r="E42" s="23"/>
      <c r="F42" s="967">
        <f t="shared" si="9"/>
        <v>0</v>
      </c>
    </row>
    <row r="43" spans="1:6" ht="12" customHeight="1" x14ac:dyDescent="0.25">
      <c r="A43" s="4" t="s">
        <v>59</v>
      </c>
      <c r="B43" s="1236" t="s">
        <v>58</v>
      </c>
      <c r="C43" s="1236"/>
      <c r="D43" s="23">
        <v>1859</v>
      </c>
      <c r="E43" s="23">
        <v>-600</v>
      </c>
      <c r="F43" s="967">
        <f t="shared" si="9"/>
        <v>1259</v>
      </c>
    </row>
    <row r="44" spans="1:6" ht="12" customHeight="1" x14ac:dyDescent="0.25">
      <c r="A44" s="4" t="s">
        <v>60</v>
      </c>
      <c r="B44" s="1401" t="s">
        <v>166</v>
      </c>
      <c r="C44" s="1401"/>
      <c r="D44" s="23">
        <v>580</v>
      </c>
      <c r="E44" s="23">
        <v>70</v>
      </c>
      <c r="F44" s="967">
        <f t="shared" si="9"/>
        <v>650</v>
      </c>
    </row>
    <row r="45" spans="1:6" ht="12" customHeight="1" x14ac:dyDescent="0.25">
      <c r="A45" s="28" t="s">
        <v>60</v>
      </c>
      <c r="B45" s="33"/>
      <c r="C45" s="29" t="s">
        <v>61</v>
      </c>
      <c r="D45" s="25"/>
      <c r="E45" s="23"/>
      <c r="F45" s="446"/>
    </row>
    <row r="46" spans="1:6" ht="12" customHeight="1" x14ac:dyDescent="0.25">
      <c r="A46" s="28" t="s">
        <v>60</v>
      </c>
      <c r="B46" s="33"/>
      <c r="C46" s="29" t="s">
        <v>168</v>
      </c>
      <c r="D46" s="25"/>
      <c r="E46" s="23"/>
      <c r="F46" s="446"/>
    </row>
    <row r="47" spans="1:6" ht="12" customHeight="1" x14ac:dyDescent="0.25">
      <c r="A47" s="4" t="s">
        <v>63</v>
      </c>
      <c r="B47" s="1238" t="s">
        <v>62</v>
      </c>
      <c r="C47" s="1238"/>
      <c r="D47" s="23">
        <v>710</v>
      </c>
      <c r="E47" s="23"/>
      <c r="F47" s="967">
        <f t="shared" ref="F47:F48" si="10">+D47+E47</f>
        <v>710</v>
      </c>
    </row>
    <row r="48" spans="1:6" ht="12" customHeight="1" x14ac:dyDescent="0.25">
      <c r="A48" s="4" t="s">
        <v>65</v>
      </c>
      <c r="B48" s="1236" t="s">
        <v>64</v>
      </c>
      <c r="C48" s="1236"/>
      <c r="D48" s="446">
        <v>4326</v>
      </c>
      <c r="E48" s="23">
        <v>600</v>
      </c>
      <c r="F48" s="967">
        <f t="shared" si="10"/>
        <v>4926</v>
      </c>
    </row>
    <row r="49" spans="1:6" s="38" customFormat="1" ht="12" customHeight="1" x14ac:dyDescent="0.25">
      <c r="A49" s="5" t="s">
        <v>66</v>
      </c>
      <c r="B49" s="1240" t="s">
        <v>156</v>
      </c>
      <c r="C49" s="1240"/>
      <c r="D49" s="47">
        <f>D40+D41+D42+D43+D44+D47+D48</f>
        <v>7475</v>
      </c>
      <c r="E49" s="47">
        <f t="shared" ref="E49" si="11">E40+E41+E42+E43+E44+E47+E48</f>
        <v>70</v>
      </c>
      <c r="F49" s="703">
        <f t="shared" ref="F49" si="12">F40+F41+F42+F43+F44+F47+F48</f>
        <v>7545</v>
      </c>
    </row>
    <row r="50" spans="1:6" ht="12" customHeight="1" x14ac:dyDescent="0.25">
      <c r="A50" s="4" t="s">
        <v>68</v>
      </c>
      <c r="B50" s="1236" t="s">
        <v>67</v>
      </c>
      <c r="C50" s="1236"/>
      <c r="D50" s="50">
        <v>300</v>
      </c>
      <c r="E50" s="23"/>
      <c r="F50" s="967">
        <f t="shared" ref="F50:F51" si="13">+D50+E50</f>
        <v>300</v>
      </c>
    </row>
    <row r="51" spans="1:6" ht="12" customHeight="1" x14ac:dyDescent="0.25">
      <c r="A51" s="4" t="s">
        <v>70</v>
      </c>
      <c r="B51" s="1236" t="s">
        <v>69</v>
      </c>
      <c r="C51" s="1236"/>
      <c r="D51" s="23"/>
      <c r="E51" s="23"/>
      <c r="F51" s="967">
        <f t="shared" si="13"/>
        <v>0</v>
      </c>
    </row>
    <row r="52" spans="1:6" ht="12" customHeight="1" x14ac:dyDescent="0.25">
      <c r="A52" s="5" t="s">
        <v>71</v>
      </c>
      <c r="B52" s="1240" t="s">
        <v>155</v>
      </c>
      <c r="C52" s="1240"/>
      <c r="D52" s="47">
        <f>SUM(D50:D51)</f>
        <v>300</v>
      </c>
      <c r="E52" s="47">
        <f t="shared" ref="E52" si="14">SUM(E50:E51)</f>
        <v>0</v>
      </c>
      <c r="F52" s="703">
        <f t="shared" ref="F52" si="15">SUM(F50:F51)</f>
        <v>300</v>
      </c>
    </row>
    <row r="53" spans="1:6" ht="12" customHeight="1" x14ac:dyDescent="0.25">
      <c r="A53" s="4" t="s">
        <v>73</v>
      </c>
      <c r="B53" s="1236" t="s">
        <v>72</v>
      </c>
      <c r="C53" s="1236"/>
      <c r="D53" s="50">
        <v>1910</v>
      </c>
      <c r="E53" s="23"/>
      <c r="F53" s="967">
        <f t="shared" ref="F53:F57" si="16">+D53+E53</f>
        <v>1910</v>
      </c>
    </row>
    <row r="54" spans="1:6" ht="12" customHeight="1" x14ac:dyDescent="0.25">
      <c r="A54" s="4" t="s">
        <v>75</v>
      </c>
      <c r="B54" s="1236" t="s">
        <v>74</v>
      </c>
      <c r="C54" s="1236"/>
      <c r="D54" s="23"/>
      <c r="E54" s="23"/>
      <c r="F54" s="967">
        <f t="shared" si="16"/>
        <v>0</v>
      </c>
    </row>
    <row r="55" spans="1:6" ht="12" customHeight="1" x14ac:dyDescent="0.25">
      <c r="A55" s="4" t="s">
        <v>76</v>
      </c>
      <c r="B55" s="1236" t="s">
        <v>154</v>
      </c>
      <c r="C55" s="1236"/>
      <c r="D55" s="23"/>
      <c r="E55" s="23"/>
      <c r="F55" s="967">
        <f t="shared" si="16"/>
        <v>0</v>
      </c>
    </row>
    <row r="56" spans="1:6" ht="12" customHeight="1" x14ac:dyDescent="0.25">
      <c r="A56" s="4" t="s">
        <v>77</v>
      </c>
      <c r="B56" s="1236" t="s">
        <v>153</v>
      </c>
      <c r="C56" s="1236"/>
      <c r="D56" s="23"/>
      <c r="E56" s="23"/>
      <c r="F56" s="967">
        <f t="shared" si="16"/>
        <v>0</v>
      </c>
    </row>
    <row r="57" spans="1:6" ht="12" customHeight="1" x14ac:dyDescent="0.25">
      <c r="A57" s="4" t="s">
        <v>79</v>
      </c>
      <c r="B57" s="1236" t="s">
        <v>78</v>
      </c>
      <c r="C57" s="1236"/>
      <c r="D57" s="50">
        <v>150</v>
      </c>
      <c r="E57" s="23"/>
      <c r="F57" s="967">
        <f t="shared" si="16"/>
        <v>150</v>
      </c>
    </row>
    <row r="58" spans="1:6" ht="12" customHeight="1" x14ac:dyDescent="0.25">
      <c r="A58" s="5" t="s">
        <v>80</v>
      </c>
      <c r="B58" s="1240" t="s">
        <v>152</v>
      </c>
      <c r="C58" s="1240"/>
      <c r="D58" s="47">
        <f>SUM(D53:D57)</f>
        <v>2060</v>
      </c>
      <c r="E58" s="47">
        <f t="shared" ref="E58" si="17">SUM(E53:E57)</f>
        <v>0</v>
      </c>
      <c r="F58" s="703">
        <f t="shared" ref="F58" si="18">SUM(F53:F57)</f>
        <v>2060</v>
      </c>
    </row>
    <row r="59" spans="1:6" ht="12" customHeight="1" x14ac:dyDescent="0.25">
      <c r="A59" s="6" t="s">
        <v>81</v>
      </c>
      <c r="B59" s="1239" t="s">
        <v>151</v>
      </c>
      <c r="C59" s="1239"/>
      <c r="D59" s="45">
        <f>+D36+D39+D49+D52+D58</f>
        <v>14442</v>
      </c>
      <c r="E59" s="45">
        <f t="shared" ref="E59" si="19">+E36+E39+E49+E52+E58</f>
        <v>70</v>
      </c>
      <c r="F59" s="969">
        <f t="shared" ref="F59" si="20">+F36+F39+F49+F52+F58</f>
        <v>14512</v>
      </c>
    </row>
    <row r="60" spans="1:6" ht="12" customHeight="1" x14ac:dyDescent="0.25">
      <c r="A60" s="7"/>
      <c r="B60" s="8"/>
      <c r="C60" s="8"/>
      <c r="D60" s="24"/>
      <c r="E60" s="24"/>
      <c r="F60" s="746"/>
    </row>
    <row r="61" spans="1:6" ht="12" customHeight="1" x14ac:dyDescent="0.25">
      <c r="A61" s="4" t="s">
        <v>101</v>
      </c>
      <c r="B61" s="1403" t="s">
        <v>725</v>
      </c>
      <c r="C61" s="1245"/>
      <c r="D61" s="600"/>
      <c r="E61" s="23"/>
      <c r="F61" s="446"/>
    </row>
    <row r="62" spans="1:6" ht="12" customHeight="1" x14ac:dyDescent="0.25">
      <c r="A62" s="4" t="s">
        <v>107</v>
      </c>
      <c r="B62" s="1403" t="s">
        <v>164</v>
      </c>
      <c r="C62" s="1245"/>
      <c r="D62" s="446">
        <v>7348</v>
      </c>
      <c r="E62" s="23"/>
      <c r="F62" s="967">
        <f>+D62+E62</f>
        <v>7348</v>
      </c>
    </row>
    <row r="63" spans="1:6" ht="12" customHeight="1" x14ac:dyDescent="0.25">
      <c r="A63" s="35" t="s">
        <v>107</v>
      </c>
      <c r="B63" s="968"/>
      <c r="C63" s="31" t="s">
        <v>104</v>
      </c>
      <c r="D63" s="446">
        <v>7348</v>
      </c>
      <c r="E63" s="23"/>
      <c r="F63" s="967">
        <f>+D63+E62</f>
        <v>7348</v>
      </c>
    </row>
    <row r="64" spans="1:6" ht="12" customHeight="1" x14ac:dyDescent="0.25">
      <c r="A64" s="6" t="s">
        <v>108</v>
      </c>
      <c r="B64" s="1239" t="s">
        <v>163</v>
      </c>
      <c r="C64" s="1239"/>
      <c r="D64" s="703">
        <f>+D62</f>
        <v>7348</v>
      </c>
      <c r="E64" s="45">
        <f t="shared" ref="E64" si="21">+E62</f>
        <v>0</v>
      </c>
      <c r="F64" s="969">
        <f>+F63</f>
        <v>7348</v>
      </c>
    </row>
    <row r="65" spans="1:6" ht="12" customHeight="1" x14ac:dyDescent="0.25">
      <c r="A65" s="7"/>
      <c r="B65" s="8"/>
      <c r="C65" s="8"/>
      <c r="D65" s="26"/>
      <c r="E65" s="26"/>
      <c r="F65" s="967">
        <f t="shared" ref="F65:F66" si="22">+D65+E65</f>
        <v>0</v>
      </c>
    </row>
    <row r="66" spans="1:6" ht="12" customHeight="1" x14ac:dyDescent="0.25">
      <c r="A66" s="12" t="s">
        <v>110</v>
      </c>
      <c r="B66" s="1238" t="s">
        <v>109</v>
      </c>
      <c r="C66" s="1238"/>
      <c r="D66" s="23"/>
      <c r="E66" s="23"/>
      <c r="F66" s="967">
        <f t="shared" si="22"/>
        <v>0</v>
      </c>
    </row>
    <row r="67" spans="1:6" ht="12" customHeight="1" x14ac:dyDescent="0.25">
      <c r="A67" s="4" t="s">
        <v>111</v>
      </c>
      <c r="B67" s="1236" t="s">
        <v>162</v>
      </c>
      <c r="C67" s="1236"/>
      <c r="D67" s="23"/>
      <c r="E67" s="23"/>
      <c r="F67" s="446"/>
    </row>
    <row r="68" spans="1:6" ht="12" customHeight="1" x14ac:dyDescent="0.25">
      <c r="A68" s="32" t="s">
        <v>111</v>
      </c>
      <c r="B68" s="33"/>
      <c r="C68" s="36" t="s">
        <v>112</v>
      </c>
      <c r="D68" s="23"/>
      <c r="E68" s="23"/>
      <c r="F68" s="967">
        <f>+D68+E68</f>
        <v>0</v>
      </c>
    </row>
    <row r="69" spans="1:6" ht="12" customHeight="1" x14ac:dyDescent="0.25">
      <c r="A69" s="4" t="s">
        <v>114</v>
      </c>
      <c r="B69" s="1236" t="s">
        <v>113</v>
      </c>
      <c r="C69" s="1236"/>
      <c r="D69" s="23"/>
      <c r="E69" s="23">
        <v>170</v>
      </c>
      <c r="F69" s="967">
        <f>+D69+E69</f>
        <v>170</v>
      </c>
    </row>
    <row r="70" spans="1:6" ht="12" customHeight="1" x14ac:dyDescent="0.25">
      <c r="A70" s="4" t="s">
        <v>116</v>
      </c>
      <c r="B70" s="1236" t="s">
        <v>115</v>
      </c>
      <c r="C70" s="1236"/>
      <c r="D70" s="23">
        <v>787</v>
      </c>
      <c r="E70" s="23">
        <v>-166</v>
      </c>
      <c r="F70" s="967">
        <f t="shared" ref="F70:F73" si="23">+D70+E70</f>
        <v>621</v>
      </c>
    </row>
    <row r="71" spans="1:6" ht="12" customHeight="1" x14ac:dyDescent="0.25">
      <c r="A71" s="4" t="s">
        <v>118</v>
      </c>
      <c r="B71" s="1236" t="s">
        <v>117</v>
      </c>
      <c r="C71" s="1236"/>
      <c r="D71" s="23"/>
      <c r="E71" s="23"/>
      <c r="F71" s="967">
        <f t="shared" si="23"/>
        <v>0</v>
      </c>
    </row>
    <row r="72" spans="1:6" ht="12" customHeight="1" x14ac:dyDescent="0.25">
      <c r="A72" s="4" t="s">
        <v>120</v>
      </c>
      <c r="B72" s="1236" t="s">
        <v>119</v>
      </c>
      <c r="C72" s="1236"/>
      <c r="D72" s="23"/>
      <c r="E72" s="23"/>
      <c r="F72" s="967">
        <f t="shared" si="23"/>
        <v>0</v>
      </c>
    </row>
    <row r="73" spans="1:6" ht="12" customHeight="1" x14ac:dyDescent="0.25">
      <c r="A73" s="4" t="s">
        <v>122</v>
      </c>
      <c r="B73" s="1236" t="s">
        <v>121</v>
      </c>
      <c r="C73" s="1236"/>
      <c r="D73" s="50">
        <v>213</v>
      </c>
      <c r="E73" s="808">
        <v>-4</v>
      </c>
      <c r="F73" s="967">
        <f t="shared" si="23"/>
        <v>209</v>
      </c>
    </row>
    <row r="74" spans="1:6" ht="12" customHeight="1" x14ac:dyDescent="0.25">
      <c r="A74" s="6" t="s">
        <v>123</v>
      </c>
      <c r="B74" s="1240" t="s">
        <v>161</v>
      </c>
      <c r="C74" s="1240"/>
      <c r="D74" s="47">
        <f>+D66+D67+D69+D70+D71+D72+D73</f>
        <v>1000</v>
      </c>
      <c r="E74" s="45">
        <f t="shared" ref="E74" si="24">+E66+E67+E69+E70+E71+E72+E73</f>
        <v>0</v>
      </c>
      <c r="F74" s="703">
        <f t="shared" ref="F74" si="25">+F66+F67+F69+F70+F71+F72+F73</f>
        <v>1000</v>
      </c>
    </row>
    <row r="75" spans="1:6" ht="12" customHeight="1" x14ac:dyDescent="0.25">
      <c r="A75" s="7"/>
      <c r="B75" s="960"/>
      <c r="C75" s="959"/>
      <c r="D75" s="23"/>
      <c r="E75" s="26"/>
      <c r="F75" s="446"/>
    </row>
    <row r="76" spans="1:6" ht="12" hidden="1" customHeight="1" x14ac:dyDescent="0.25">
      <c r="A76" s="12" t="s">
        <v>125</v>
      </c>
      <c r="B76" s="1236" t="s">
        <v>124</v>
      </c>
      <c r="C76" s="1236"/>
      <c r="D76" s="23"/>
      <c r="E76" s="23"/>
      <c r="F76" s="446"/>
    </row>
    <row r="77" spans="1:6" ht="12" hidden="1" customHeight="1" x14ac:dyDescent="0.25">
      <c r="A77" s="4" t="s">
        <v>127</v>
      </c>
      <c r="B77" s="1236" t="s">
        <v>126</v>
      </c>
      <c r="C77" s="1236"/>
      <c r="D77" s="23"/>
      <c r="E77" s="23"/>
      <c r="F77" s="446"/>
    </row>
    <row r="78" spans="1:6" ht="12" hidden="1" customHeight="1" x14ac:dyDescent="0.25">
      <c r="A78" s="4" t="s">
        <v>129</v>
      </c>
      <c r="B78" s="1236" t="s">
        <v>128</v>
      </c>
      <c r="C78" s="1236"/>
      <c r="D78" s="23"/>
      <c r="E78" s="23"/>
      <c r="F78" s="446"/>
    </row>
    <row r="79" spans="1:6" ht="12" hidden="1" customHeight="1" x14ac:dyDescent="0.25">
      <c r="A79" s="4" t="s">
        <v>131</v>
      </c>
      <c r="B79" s="1236" t="s">
        <v>130</v>
      </c>
      <c r="C79" s="1236"/>
      <c r="D79" s="47">
        <f>SUM(D75:D78)</f>
        <v>0</v>
      </c>
      <c r="E79" s="47">
        <f>SUM(E75:E78)</f>
        <v>0</v>
      </c>
      <c r="F79" s="703">
        <f>SUM(F75:F78)</f>
        <v>0</v>
      </c>
    </row>
    <row r="80" spans="1:6" ht="12" customHeight="1" x14ac:dyDescent="0.25">
      <c r="A80" s="5" t="s">
        <v>132</v>
      </c>
      <c r="B80" s="1240" t="s">
        <v>160</v>
      </c>
      <c r="C80" s="1240"/>
      <c r="D80" s="23"/>
      <c r="E80" s="24"/>
      <c r="F80" s="446"/>
    </row>
    <row r="81" spans="1:6" ht="12" customHeight="1" x14ac:dyDescent="0.25">
      <c r="A81" s="7"/>
      <c r="B81" s="970"/>
      <c r="C81" s="958"/>
      <c r="D81" s="23"/>
      <c r="E81" s="23"/>
      <c r="F81" s="446"/>
    </row>
    <row r="82" spans="1:6" ht="12" customHeight="1" x14ac:dyDescent="0.25">
      <c r="A82" s="14" t="s">
        <v>134</v>
      </c>
      <c r="B82" s="1240" t="s">
        <v>158</v>
      </c>
      <c r="C82" s="1240"/>
      <c r="D82" s="23"/>
      <c r="E82" s="195"/>
      <c r="F82" s="446"/>
    </row>
    <row r="83" spans="1:6" ht="12" customHeight="1" thickBot="1" x14ac:dyDescent="0.3">
      <c r="A83" s="39"/>
      <c r="B83" s="971"/>
      <c r="C83" s="961"/>
      <c r="D83" s="972"/>
      <c r="F83" s="1148"/>
    </row>
    <row r="84" spans="1:6" ht="12" customHeight="1" thickBot="1" x14ac:dyDescent="0.3">
      <c r="A84" s="41" t="s">
        <v>135</v>
      </c>
      <c r="B84" s="1248" t="s">
        <v>157</v>
      </c>
      <c r="C84" s="1248"/>
      <c r="D84" s="51">
        <f>+D81+D74+D64+D59+D26+D24</f>
        <v>231817</v>
      </c>
      <c r="E84" s="51">
        <f>+E81+E74+E64+E59+E26+E24</f>
        <v>1539</v>
      </c>
      <c r="F84" s="1040">
        <f>+F81+F74+F64+F59+F26+F24</f>
        <v>233356</v>
      </c>
    </row>
    <row r="85" spans="1:6" x14ac:dyDescent="0.25">
      <c r="D85" s="301"/>
      <c r="E85" s="301"/>
      <c r="F85" s="1149"/>
    </row>
    <row r="86" spans="1:6" x14ac:dyDescent="0.25">
      <c r="D86" s="425"/>
      <c r="E86" s="425"/>
      <c r="F86" s="637"/>
    </row>
  </sheetData>
  <mergeCells count="69">
    <mergeCell ref="D2:F2"/>
    <mergeCell ref="D4:F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6" orientation="portrait" r:id="rId1"/>
  <headerFooter>
    <oddHeader>&amp;C&amp;"Times New Roman,Félkövér"&amp;12Martonvásár Város Önkormányzatának kiadásai 2021.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zoomScaleNormal="100" workbookViewId="0">
      <selection activeCell="D43" sqref="D43"/>
    </sheetView>
  </sheetViews>
  <sheetFormatPr defaultColWidth="9.140625" defaultRowHeight="15.75" x14ac:dyDescent="0.25"/>
  <cols>
    <col min="1" max="1" width="5.42578125" style="116" customWidth="1"/>
    <col min="2" max="2" width="54.85546875" style="110" customWidth="1"/>
    <col min="3" max="3" width="10.42578125" style="110" customWidth="1"/>
    <col min="4" max="4" width="9.140625" style="110" customWidth="1"/>
    <col min="5" max="5" width="9" style="110" customWidth="1"/>
    <col min="6" max="20" width="9.140625" style="76"/>
    <col min="21" max="16384" width="9.140625" style="110"/>
  </cols>
  <sheetData>
    <row r="1" spans="1:20" ht="15.95" customHeight="1" x14ac:dyDescent="0.25">
      <c r="A1" s="70" t="s">
        <v>299</v>
      </c>
      <c r="B1" s="71"/>
      <c r="C1" s="71"/>
      <c r="D1" s="71"/>
      <c r="E1" s="71"/>
    </row>
    <row r="2" spans="1:20" ht="15.95" customHeight="1" x14ac:dyDescent="0.25">
      <c r="A2" s="1188" t="s">
        <v>300</v>
      </c>
      <c r="B2" s="1188"/>
      <c r="D2" s="459"/>
      <c r="E2" s="847" t="s">
        <v>380</v>
      </c>
    </row>
    <row r="3" spans="1:20" ht="35.25" customHeight="1" x14ac:dyDescent="0.25">
      <c r="A3" s="117"/>
      <c r="B3" s="117" t="s">
        <v>182</v>
      </c>
      <c r="C3" s="54" t="s">
        <v>913</v>
      </c>
      <c r="D3" s="54" t="s">
        <v>684</v>
      </c>
      <c r="E3" s="54" t="s">
        <v>937</v>
      </c>
      <c r="O3" s="110"/>
      <c r="P3" s="110"/>
      <c r="Q3" s="110"/>
      <c r="R3" s="110"/>
      <c r="S3" s="110"/>
      <c r="T3" s="110"/>
    </row>
    <row r="4" spans="1:20" s="129" customFormat="1" x14ac:dyDescent="0.25">
      <c r="A4" s="127" t="s">
        <v>392</v>
      </c>
      <c r="B4" s="121" t="s">
        <v>391</v>
      </c>
      <c r="C4" s="133">
        <f>+C7+C8+C13+C14</f>
        <v>1134635</v>
      </c>
      <c r="D4" s="133">
        <f t="shared" ref="D4:E4" si="0">+D7+D8+D13+D14</f>
        <v>14407</v>
      </c>
      <c r="E4" s="133">
        <f t="shared" si="0"/>
        <v>1149042</v>
      </c>
      <c r="F4" s="128"/>
      <c r="G4" s="128"/>
      <c r="H4" s="128"/>
      <c r="I4" s="128"/>
      <c r="J4" s="128"/>
      <c r="K4" s="128"/>
      <c r="L4" s="128"/>
      <c r="M4" s="128"/>
      <c r="N4" s="128"/>
    </row>
    <row r="5" spans="1:20" s="111" customFormat="1" ht="12" customHeight="1" x14ac:dyDescent="0.2">
      <c r="A5" s="82" t="s">
        <v>389</v>
      </c>
      <c r="B5" s="132" t="s">
        <v>328</v>
      </c>
      <c r="C5" s="80">
        <f>+'3.mell. Bevétel'!C11</f>
        <v>630756</v>
      </c>
      <c r="D5" s="80">
        <f>+'3.mell. Bevétel'!D11</f>
        <v>3779</v>
      </c>
      <c r="E5" s="80">
        <f>+'3.mell. Bevétel'!E11</f>
        <v>634535</v>
      </c>
      <c r="F5" s="76"/>
      <c r="G5" s="76"/>
      <c r="H5" s="76"/>
      <c r="I5" s="76"/>
      <c r="J5" s="76"/>
      <c r="K5" s="76"/>
      <c r="L5" s="76"/>
      <c r="M5" s="76"/>
      <c r="N5" s="76"/>
    </row>
    <row r="6" spans="1:20" s="111" customFormat="1" ht="26.25" customHeight="1" x14ac:dyDescent="0.2">
      <c r="A6" s="131" t="s">
        <v>390</v>
      </c>
      <c r="B6" s="132" t="s">
        <v>204</v>
      </c>
      <c r="C6" s="80">
        <f>+'3.mell. Bevétel'!C12+'6.mell Int.összesen'!D15</f>
        <v>46165</v>
      </c>
      <c r="D6" s="80">
        <f>+'3.mell. Bevétel'!D12+'6.mell Int.összesen'!E15</f>
        <v>0</v>
      </c>
      <c r="E6" s="80">
        <f>+'3.mell. Bevétel'!E12+'6.mell Int.összesen'!F15</f>
        <v>46165</v>
      </c>
      <c r="F6" s="76"/>
      <c r="G6" s="76"/>
      <c r="H6" s="76"/>
      <c r="I6" s="76"/>
      <c r="J6" s="76"/>
      <c r="K6" s="76"/>
      <c r="L6" s="76"/>
      <c r="M6" s="76"/>
      <c r="N6" s="76"/>
    </row>
    <row r="7" spans="1:20" s="130" customFormat="1" ht="12" customHeight="1" x14ac:dyDescent="0.2">
      <c r="A7" s="56" t="s">
        <v>305</v>
      </c>
      <c r="B7" s="48" t="s">
        <v>326</v>
      </c>
      <c r="C7" s="64">
        <f>+C5+C6</f>
        <v>676921</v>
      </c>
      <c r="D7" s="64">
        <f t="shared" ref="D7:E7" si="1">+D5+D6</f>
        <v>3779</v>
      </c>
      <c r="E7" s="64">
        <f t="shared" si="1"/>
        <v>680700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20" s="111" customFormat="1" ht="12" customHeight="1" x14ac:dyDescent="0.2">
      <c r="A8" s="123" t="s">
        <v>393</v>
      </c>
      <c r="B8" s="48" t="s">
        <v>332</v>
      </c>
      <c r="C8" s="64">
        <f>SUM(C9:C12)</f>
        <v>357987</v>
      </c>
      <c r="D8" s="64">
        <f t="shared" ref="D8:E8" si="2">SUM(D9:D12)</f>
        <v>0</v>
      </c>
      <c r="E8" s="64">
        <f t="shared" si="2"/>
        <v>357987</v>
      </c>
      <c r="F8" s="76"/>
      <c r="G8" s="76"/>
      <c r="H8" s="76"/>
      <c r="I8" s="76"/>
      <c r="J8" s="76"/>
      <c r="K8" s="76"/>
      <c r="L8" s="76"/>
      <c r="M8" s="76"/>
      <c r="N8" s="76"/>
    </row>
    <row r="9" spans="1:20" s="111" customFormat="1" ht="12" customHeight="1" x14ac:dyDescent="0.2">
      <c r="A9" s="82" t="s">
        <v>394</v>
      </c>
      <c r="B9" s="132" t="s">
        <v>330</v>
      </c>
      <c r="C9" s="64">
        <f>+'3.mell. Bevétel'!C40</f>
        <v>0</v>
      </c>
      <c r="D9" s="64">
        <f>+'3.mell. Bevétel'!D40</f>
        <v>0</v>
      </c>
      <c r="E9" s="64">
        <f>+'3.mell. Bevétel'!E40</f>
        <v>0</v>
      </c>
      <c r="F9" s="76"/>
      <c r="G9" s="76"/>
      <c r="H9" s="76"/>
      <c r="I9" s="76"/>
      <c r="J9" s="76"/>
      <c r="K9" s="76"/>
      <c r="L9" s="76"/>
      <c r="M9" s="76"/>
      <c r="N9" s="76"/>
    </row>
    <row r="10" spans="1:20" s="111" customFormat="1" ht="12" customHeight="1" x14ac:dyDescent="0.2">
      <c r="A10" s="131" t="s">
        <v>395</v>
      </c>
      <c r="B10" s="132" t="s">
        <v>219</v>
      </c>
      <c r="C10" s="64">
        <f>+'3.mell. Bevétel'!C43</f>
        <v>227443</v>
      </c>
      <c r="D10" s="64">
        <f>+'3.mell. Bevétel'!D43</f>
        <v>0</v>
      </c>
      <c r="E10" s="64">
        <f>+'3.mell. Bevétel'!E43</f>
        <v>227443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20" s="111" customFormat="1" ht="12" customHeight="1" x14ac:dyDescent="0.2">
      <c r="A11" s="82" t="s">
        <v>396</v>
      </c>
      <c r="B11" s="132" t="s">
        <v>331</v>
      </c>
      <c r="C11" s="64">
        <f>+'3.mell. Bevétel'!C52</f>
        <v>96800</v>
      </c>
      <c r="D11" s="64">
        <f>+'3.mell. Bevétel'!D52</f>
        <v>0</v>
      </c>
      <c r="E11" s="64">
        <f>+'3.mell. Bevétel'!E52</f>
        <v>96800</v>
      </c>
      <c r="F11" s="76"/>
      <c r="G11" s="76"/>
      <c r="H11" s="76"/>
      <c r="I11" s="76"/>
      <c r="J11" s="76"/>
      <c r="K11" s="76"/>
      <c r="L11" s="76"/>
      <c r="M11" s="76"/>
      <c r="N11" s="76"/>
    </row>
    <row r="12" spans="1:20" s="111" customFormat="1" ht="12" customHeight="1" x14ac:dyDescent="0.2">
      <c r="A12" s="131" t="s">
        <v>397</v>
      </c>
      <c r="B12" s="132" t="s">
        <v>232</v>
      </c>
      <c r="C12" s="64">
        <f>+'3.mell. Bevétel'!C53</f>
        <v>33744</v>
      </c>
      <c r="D12" s="64">
        <f>+'3.mell. Bevétel'!D53</f>
        <v>0</v>
      </c>
      <c r="E12" s="64">
        <f>+'3.mell. Bevétel'!E53</f>
        <v>33744</v>
      </c>
      <c r="F12" s="76"/>
      <c r="G12" s="76"/>
      <c r="H12" s="76"/>
      <c r="I12" s="76"/>
      <c r="J12" s="76"/>
      <c r="K12" s="76"/>
      <c r="L12" s="76"/>
      <c r="M12" s="76"/>
      <c r="N12" s="76"/>
    </row>
    <row r="13" spans="1:20" s="111" customFormat="1" ht="12" customHeight="1" x14ac:dyDescent="0.2">
      <c r="A13" s="56">
        <v>3</v>
      </c>
      <c r="B13" s="48" t="s">
        <v>277</v>
      </c>
      <c r="C13" s="64">
        <f>+'3.mell. Bevétel'!C66+'6.mell Int.összesen'!D36</f>
        <v>89519</v>
      </c>
      <c r="D13" s="64">
        <f>+'3.mell. Bevétel'!D66+'6.mell Int.összesen'!E36</f>
        <v>2628</v>
      </c>
      <c r="E13" s="64">
        <f>+'3.mell. Bevétel'!E66+'6.mell Int.összesen'!F36</f>
        <v>92147</v>
      </c>
      <c r="F13" s="76"/>
      <c r="G13" s="76"/>
      <c r="H13" s="76"/>
      <c r="I13" s="76"/>
      <c r="J13" s="76"/>
      <c r="K13" s="76"/>
      <c r="L13" s="76"/>
      <c r="M13" s="76"/>
      <c r="N13" s="76"/>
    </row>
    <row r="14" spans="1:20" s="111" customFormat="1" ht="12" customHeight="1" x14ac:dyDescent="0.2">
      <c r="A14" s="123">
        <v>4</v>
      </c>
      <c r="B14" s="48" t="s">
        <v>275</v>
      </c>
      <c r="C14" s="64">
        <f>+'3.mell. Bevétel'!C70+'6.mell Int.összesen'!D39</f>
        <v>10208</v>
      </c>
      <c r="D14" s="64">
        <f>+'3.mell. Bevétel'!D70+'6.mell Int.összesen'!E39</f>
        <v>8000</v>
      </c>
      <c r="E14" s="64">
        <f>+'3.mell. Bevétel'!E70+'6.mell Int.összesen'!F39</f>
        <v>18208</v>
      </c>
      <c r="F14" s="76"/>
      <c r="G14" s="76"/>
      <c r="H14" s="76"/>
      <c r="I14" s="76"/>
      <c r="J14" s="76"/>
      <c r="K14" s="76"/>
      <c r="L14" s="76"/>
      <c r="M14" s="76"/>
      <c r="N14" s="76"/>
    </row>
    <row r="15" spans="1:20" s="130" customFormat="1" ht="12" customHeight="1" x14ac:dyDescent="0.2">
      <c r="A15" s="57" t="s">
        <v>398</v>
      </c>
      <c r="B15" s="121" t="s">
        <v>276</v>
      </c>
      <c r="C15" s="68">
        <f>SUM(C16:C18)</f>
        <v>140953</v>
      </c>
      <c r="D15" s="68">
        <f t="shared" ref="D15:E15" si="3">SUM(D16:D18)</f>
        <v>0</v>
      </c>
      <c r="E15" s="68">
        <f t="shared" si="3"/>
        <v>140953</v>
      </c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20" s="111" customFormat="1" ht="12" customHeight="1" x14ac:dyDescent="0.2">
      <c r="A16" s="123">
        <v>1</v>
      </c>
      <c r="B16" s="48" t="s">
        <v>327</v>
      </c>
      <c r="C16" s="64">
        <f>+'3.mell. Bevétel'!C37+'6.mell Int.összesen'!D41</f>
        <v>130953</v>
      </c>
      <c r="D16" s="64">
        <f>+'3.mell. Bevétel'!D37+'6.mell Int.összesen'!E41</f>
        <v>0</v>
      </c>
      <c r="E16" s="64">
        <f>+'3.mell. Bevétel'!E37+'6.mell Int.összesen'!F41</f>
        <v>130953</v>
      </c>
      <c r="F16" s="76"/>
      <c r="G16" s="76"/>
      <c r="H16" s="76"/>
      <c r="I16" s="76"/>
      <c r="J16" s="76"/>
      <c r="K16" s="76"/>
      <c r="L16" s="76"/>
      <c r="M16" s="76"/>
      <c r="N16" s="76"/>
    </row>
    <row r="17" spans="1:20" s="111" customFormat="1" ht="12" customHeight="1" x14ac:dyDescent="0.2">
      <c r="A17" s="56">
        <v>2</v>
      </c>
      <c r="B17" s="48" t="s">
        <v>276</v>
      </c>
      <c r="C17" s="64">
        <f>+'3.mell. Bevétel'!C67</f>
        <v>10000</v>
      </c>
      <c r="D17" s="64">
        <f>+'3.mell. Bevétel'!D67</f>
        <v>0</v>
      </c>
      <c r="E17" s="64">
        <f>+'3.mell. Bevétel'!E67</f>
        <v>10000</v>
      </c>
      <c r="F17" s="76"/>
      <c r="G17" s="76"/>
      <c r="H17" s="76"/>
      <c r="I17" s="76"/>
      <c r="J17" s="76"/>
      <c r="K17" s="76"/>
      <c r="L17" s="76"/>
      <c r="M17" s="76"/>
      <c r="N17" s="76"/>
    </row>
    <row r="18" spans="1:20" s="111" customFormat="1" ht="12" customHeight="1" x14ac:dyDescent="0.2">
      <c r="A18" s="123">
        <v>3</v>
      </c>
      <c r="B18" s="48" t="s">
        <v>280</v>
      </c>
      <c r="C18" s="64">
        <f>+'3.mell. Bevétel'!C72</f>
        <v>0</v>
      </c>
      <c r="D18" s="64">
        <f>+'3.mell. Bevétel'!D72</f>
        <v>0</v>
      </c>
      <c r="E18" s="64">
        <f>+'3.mell. Bevétel'!E72</f>
        <v>0</v>
      </c>
      <c r="F18" s="76"/>
      <c r="G18" s="76"/>
      <c r="H18" s="76"/>
      <c r="I18" s="76"/>
      <c r="J18" s="76"/>
      <c r="K18" s="76"/>
      <c r="L18" s="76"/>
      <c r="M18" s="76"/>
      <c r="N18" s="76"/>
    </row>
    <row r="19" spans="1:20" s="111" customFormat="1" ht="12" customHeight="1" x14ac:dyDescent="0.2">
      <c r="A19" s="56"/>
      <c r="B19" s="49" t="s">
        <v>377</v>
      </c>
      <c r="C19" s="68">
        <f>+C15+C4</f>
        <v>1275588</v>
      </c>
      <c r="D19" s="68">
        <f t="shared" ref="D19:E19" si="4">+D15+D4</f>
        <v>14407</v>
      </c>
      <c r="E19" s="68">
        <f t="shared" si="4"/>
        <v>1289995</v>
      </c>
      <c r="F19" s="76"/>
      <c r="G19" s="76"/>
      <c r="H19" s="76"/>
      <c r="I19" s="76"/>
      <c r="J19" s="76"/>
      <c r="K19" s="76"/>
      <c r="L19" s="76"/>
      <c r="M19" s="76"/>
      <c r="N19" s="76"/>
    </row>
    <row r="20" spans="1:20" s="111" customFormat="1" ht="12" customHeight="1" x14ac:dyDescent="0.2">
      <c r="A20" s="127" t="s">
        <v>399</v>
      </c>
      <c r="B20" s="49" t="s">
        <v>283</v>
      </c>
      <c r="C20" s="68">
        <f>+C22+C21</f>
        <v>771979</v>
      </c>
      <c r="D20" s="68">
        <f t="shared" ref="D20:E20" si="5">+D22+D21</f>
        <v>0</v>
      </c>
      <c r="E20" s="68">
        <f t="shared" si="5"/>
        <v>771979</v>
      </c>
      <c r="F20" s="76"/>
      <c r="G20" s="76"/>
      <c r="H20" s="76"/>
      <c r="I20" s="76"/>
      <c r="J20" s="76"/>
      <c r="K20" s="76"/>
      <c r="L20" s="76"/>
      <c r="M20" s="76"/>
      <c r="N20" s="76"/>
    </row>
    <row r="21" spans="1:20" s="111" customFormat="1" ht="12" customHeight="1" x14ac:dyDescent="0.2">
      <c r="A21" s="56">
        <v>1</v>
      </c>
      <c r="B21" s="48" t="s">
        <v>665</v>
      </c>
      <c r="C21" s="64">
        <f>+'3.mell. Bevétel'!C75</f>
        <v>0</v>
      </c>
      <c r="D21" s="64">
        <f>+'3.mell. Bevétel'!D75</f>
        <v>0</v>
      </c>
      <c r="E21" s="64">
        <f>+'3.mell. Bevétel'!E75</f>
        <v>0</v>
      </c>
      <c r="F21" s="76"/>
      <c r="G21" s="76"/>
      <c r="H21" s="76"/>
      <c r="I21" s="76"/>
      <c r="J21" s="76"/>
      <c r="K21" s="76"/>
      <c r="L21" s="76"/>
      <c r="M21" s="76"/>
      <c r="N21" s="76"/>
    </row>
    <row r="22" spans="1:20" s="111" customFormat="1" ht="12" customHeight="1" x14ac:dyDescent="0.2">
      <c r="A22" s="123">
        <v>2</v>
      </c>
      <c r="B22" s="48" t="s">
        <v>333</v>
      </c>
      <c r="C22" s="64">
        <f>SUM(C23:C24)</f>
        <v>771979</v>
      </c>
      <c r="D22" s="64">
        <f>SUM(D23:D24)</f>
        <v>0</v>
      </c>
      <c r="E22" s="64">
        <f>SUM(E23:E24)</f>
        <v>771979</v>
      </c>
      <c r="F22" s="76"/>
      <c r="G22" s="76"/>
      <c r="H22" s="76"/>
      <c r="I22" s="76"/>
      <c r="J22" s="76"/>
      <c r="K22" s="76"/>
      <c r="L22" s="76"/>
      <c r="M22" s="76"/>
      <c r="N22" s="76"/>
    </row>
    <row r="23" spans="1:20" s="111" customFormat="1" ht="12" customHeight="1" x14ac:dyDescent="0.2">
      <c r="A23" s="56" t="s">
        <v>389</v>
      </c>
      <c r="B23" s="132" t="s">
        <v>375</v>
      </c>
      <c r="C23" s="80">
        <f>+'3.mell. Bevétel'!C77+'6.mell Int.összesen'!D46</f>
        <v>207063</v>
      </c>
      <c r="D23" s="80">
        <f>+'3.mell. Bevétel'!D77+'6.mell Int.összesen'!E46</f>
        <v>0</v>
      </c>
      <c r="E23" s="80">
        <f>+'3.mell. Bevétel'!E77+'6.mell Int.összesen'!F46</f>
        <v>207063</v>
      </c>
      <c r="F23" s="76"/>
      <c r="G23" s="76"/>
      <c r="H23" s="76"/>
      <c r="I23" s="76"/>
      <c r="J23" s="76"/>
      <c r="K23" s="76"/>
      <c r="L23" s="76"/>
      <c r="M23" s="76"/>
      <c r="N23" s="76"/>
    </row>
    <row r="24" spans="1:20" s="111" customFormat="1" ht="12" customHeight="1" x14ac:dyDescent="0.2">
      <c r="A24" s="123" t="s">
        <v>390</v>
      </c>
      <c r="B24" s="132" t="s">
        <v>376</v>
      </c>
      <c r="C24" s="80">
        <f>+'3.mell. Bevétel'!C78</f>
        <v>564916</v>
      </c>
      <c r="D24" s="80">
        <f>+'3.mell. Bevétel'!D78</f>
        <v>0</v>
      </c>
      <c r="E24" s="80">
        <f>+'3.mell. Bevétel'!E78</f>
        <v>564916</v>
      </c>
      <c r="F24" s="76"/>
      <c r="G24" s="76"/>
      <c r="H24" s="76"/>
      <c r="I24" s="76"/>
      <c r="J24" s="76"/>
      <c r="K24" s="76"/>
      <c r="L24" s="76"/>
      <c r="M24" s="76"/>
      <c r="N24" s="76"/>
    </row>
    <row r="25" spans="1:20" s="111" customFormat="1" ht="12.75" customHeight="1" x14ac:dyDescent="0.2">
      <c r="A25" s="1183" t="s">
        <v>378</v>
      </c>
      <c r="B25" s="1184"/>
      <c r="C25" s="134">
        <f>+C20+C15+C4</f>
        <v>2047567</v>
      </c>
      <c r="D25" s="134">
        <f>+D20+D15+D4</f>
        <v>14407</v>
      </c>
      <c r="E25" s="134">
        <f t="shared" ref="E25" si="6">+E20+E15+E4</f>
        <v>2061974</v>
      </c>
      <c r="F25" s="76"/>
      <c r="G25" s="76"/>
      <c r="H25" s="76"/>
      <c r="I25" s="76"/>
      <c r="J25" s="76"/>
      <c r="K25" s="76"/>
      <c r="L25" s="76"/>
      <c r="M25" s="76"/>
      <c r="N25" s="76"/>
    </row>
    <row r="26" spans="1:20" s="111" customFormat="1" ht="12" customHeight="1" x14ac:dyDescent="0.2">
      <c r="A26" s="109"/>
      <c r="B26" s="67"/>
      <c r="C26" s="124"/>
      <c r="D26" s="67"/>
      <c r="E26" s="67"/>
      <c r="F26" s="76"/>
      <c r="G26" s="76"/>
      <c r="H26" s="76"/>
      <c r="I26" s="76"/>
      <c r="J26" s="76"/>
      <c r="K26" s="76"/>
      <c r="L26" s="76"/>
      <c r="M26" s="76"/>
      <c r="N26" s="76"/>
    </row>
    <row r="27" spans="1:20" s="111" customFormat="1" ht="16.5" customHeight="1" x14ac:dyDescent="0.2">
      <c r="A27" s="1189" t="s">
        <v>306</v>
      </c>
      <c r="B27" s="1190"/>
      <c r="C27" s="1190"/>
      <c r="D27" s="1190"/>
      <c r="E27" s="1190"/>
      <c r="F27" s="76"/>
      <c r="G27" s="76"/>
      <c r="H27" s="76"/>
      <c r="I27" s="76"/>
      <c r="J27" s="76"/>
      <c r="K27" s="76"/>
      <c r="L27" s="76"/>
      <c r="M27" s="76"/>
      <c r="N27" s="76"/>
    </row>
    <row r="28" spans="1:20" s="111" customFormat="1" ht="15" customHeight="1" x14ac:dyDescent="0.25">
      <c r="A28" s="1188" t="s">
        <v>307</v>
      </c>
      <c r="B28" s="1188"/>
      <c r="C28" s="112"/>
      <c r="D28" s="112"/>
      <c r="E28" s="112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30" customHeight="1" x14ac:dyDescent="0.25">
      <c r="A29" s="118"/>
      <c r="B29" s="118" t="s">
        <v>182</v>
      </c>
      <c r="C29" s="54" t="s">
        <v>913</v>
      </c>
      <c r="D29" s="54" t="s">
        <v>684</v>
      </c>
      <c r="E29" s="54" t="s">
        <v>937</v>
      </c>
    </row>
    <row r="30" spans="1:20" ht="16.5" customHeight="1" x14ac:dyDescent="0.25">
      <c r="A30" s="127" t="s">
        <v>392</v>
      </c>
      <c r="B30" s="121" t="s">
        <v>403</v>
      </c>
      <c r="C30" s="133">
        <f>+C31+C32+C33+C34+C35+C36</f>
        <v>1507147</v>
      </c>
      <c r="D30" s="133">
        <f t="shared" ref="D30" si="7">+D31+D32+D33+D34+D35+D36</f>
        <v>-19028</v>
      </c>
      <c r="E30" s="133">
        <f>+E31+E32+E33+E34+E35+E36</f>
        <v>1488119</v>
      </c>
    </row>
    <row r="31" spans="1:20" ht="13.5" customHeight="1" x14ac:dyDescent="0.25">
      <c r="A31" s="4">
        <v>1</v>
      </c>
      <c r="B31" s="103" t="s">
        <v>172</v>
      </c>
      <c r="C31" s="122">
        <f>+'5. mell. Önk.össz kiadás'!D5+'6.mell Int.összesen'!D55</f>
        <v>382993</v>
      </c>
      <c r="D31" s="122">
        <f>+'5. mell. Önk.össz kiadás'!E5+'6.mell Int.összesen'!E55</f>
        <v>2420</v>
      </c>
      <c r="E31" s="122">
        <f>+'5. mell. Önk.össz kiadás'!F5+'6.mell Int.összesen'!F55</f>
        <v>385413</v>
      </c>
      <c r="O31" s="110"/>
      <c r="P31" s="110"/>
      <c r="Q31" s="110"/>
      <c r="R31" s="110"/>
      <c r="S31" s="110"/>
      <c r="T31" s="110"/>
    </row>
    <row r="32" spans="1:20" ht="12" customHeight="1" x14ac:dyDescent="0.25">
      <c r="A32" s="4">
        <v>2</v>
      </c>
      <c r="B32" s="103" t="s">
        <v>171</v>
      </c>
      <c r="C32" s="122">
        <f>+'5. mell. Önk.össz kiadás'!D7+'6.mell Int.összesen'!D56</f>
        <v>65234</v>
      </c>
      <c r="D32" s="122">
        <f>+'5. mell. Önk.össz kiadás'!E7+'6.mell Int.összesen'!E56</f>
        <v>367</v>
      </c>
      <c r="E32" s="122">
        <f>+'5. mell. Önk.össz kiadás'!F7+'6.mell Int.összesen'!F56</f>
        <v>65601</v>
      </c>
      <c r="O32" s="110"/>
      <c r="P32" s="110"/>
      <c r="Q32" s="110"/>
      <c r="R32" s="110"/>
      <c r="S32" s="110"/>
      <c r="T32" s="110"/>
    </row>
    <row r="33" spans="1:20" ht="12" customHeight="1" x14ac:dyDescent="0.25">
      <c r="A33" s="4">
        <v>3</v>
      </c>
      <c r="B33" s="103" t="s">
        <v>151</v>
      </c>
      <c r="C33" s="122">
        <f>+'5. mell. Önk.össz kiadás'!D14+'6.mell Int.összesen'!D63</f>
        <v>361320</v>
      </c>
      <c r="D33" s="122">
        <f>+'5. mell. Önk.össz kiadás'!E14+'6.mell Int.összesen'!E63</f>
        <v>39215</v>
      </c>
      <c r="E33" s="122">
        <f>+'5. mell. Önk.össz kiadás'!F14+'6.mell Int.összesen'!F63</f>
        <v>400535</v>
      </c>
      <c r="O33" s="110"/>
      <c r="P33" s="110"/>
      <c r="Q33" s="110"/>
      <c r="R33" s="110"/>
      <c r="S33" s="110"/>
      <c r="T33" s="110"/>
    </row>
    <row r="34" spans="1:20" ht="12" customHeight="1" x14ac:dyDescent="0.25">
      <c r="A34" s="4">
        <v>4</v>
      </c>
      <c r="B34" s="104" t="s">
        <v>150</v>
      </c>
      <c r="C34" s="122">
        <f>+'5. mell. Önk.össz kiadás'!D16</f>
        <v>5883</v>
      </c>
      <c r="D34" s="122">
        <f>+'5. mell. Önk.össz kiadás'!E16</f>
        <v>0</v>
      </c>
      <c r="E34" s="122">
        <f>+'5. mell. Önk.össz kiadás'!F16</f>
        <v>5883</v>
      </c>
      <c r="K34" s="76" t="s">
        <v>652</v>
      </c>
      <c r="O34" s="110"/>
      <c r="P34" s="110"/>
      <c r="Q34" s="110"/>
      <c r="R34" s="110"/>
      <c r="S34" s="110"/>
      <c r="T34" s="110"/>
    </row>
    <row r="35" spans="1:20" ht="12" customHeight="1" x14ac:dyDescent="0.25">
      <c r="A35" s="4">
        <v>5</v>
      </c>
      <c r="B35" s="103" t="s">
        <v>163</v>
      </c>
      <c r="C35" s="122">
        <f>+'5. mell. Önk.össz kiadás'!D18-'5. mell. Önk.össz kiadás'!D19+'6.mell Int.összesen'!D67</f>
        <v>382086</v>
      </c>
      <c r="D35" s="122">
        <f>+'5. mell. Önk.össz kiadás'!E18-'5. mell. Önk.össz kiadás'!E19+'6.mell Int.összesen'!E67</f>
        <v>-731</v>
      </c>
      <c r="E35" s="122">
        <f>+'5. mell. Önk.össz kiadás'!F18-'5. mell. Önk.össz kiadás'!F19+'6.mell Int.összesen'!F67</f>
        <v>381355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ht="12" customHeight="1" x14ac:dyDescent="0.25">
      <c r="A36" s="4">
        <v>6</v>
      </c>
      <c r="B36" s="103" t="s">
        <v>413</v>
      </c>
      <c r="C36" s="122">
        <f>+'5. mell. Önk.össz kiadás'!D19</f>
        <v>309631</v>
      </c>
      <c r="D36" s="122">
        <f>+'5. mell. Önk.össz kiadás'!E19</f>
        <v>-60299</v>
      </c>
      <c r="E36" s="122">
        <f>+'5. mell. Önk.össz kiadás'!F19</f>
        <v>249332</v>
      </c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1:20" ht="12" customHeight="1" x14ac:dyDescent="0.25">
      <c r="A37" s="5" t="s">
        <v>404</v>
      </c>
      <c r="B37" s="121" t="s">
        <v>405</v>
      </c>
      <c r="C37" s="134">
        <f>+C38+C39+C40</f>
        <v>518675</v>
      </c>
      <c r="D37" s="134">
        <f t="shared" ref="D37" si="8">+D38+D39+D40</f>
        <v>33435</v>
      </c>
      <c r="E37" s="134">
        <f>+E38+E39+E40</f>
        <v>552110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2" customHeight="1" x14ac:dyDescent="0.25">
      <c r="A38" s="4">
        <v>1</v>
      </c>
      <c r="B38" s="103" t="s">
        <v>161</v>
      </c>
      <c r="C38" s="122">
        <f>+'5. mell. Önk.össz kiadás'!D21+'6.mell Int.összesen'!D69</f>
        <v>476902</v>
      </c>
      <c r="D38" s="122">
        <f>+'5. mell. Önk.össz kiadás'!E21+'6.mell Int.összesen'!E69</f>
        <v>30917</v>
      </c>
      <c r="E38" s="122">
        <f>+'5. mell. Önk.össz kiadás'!F21+'6.mell Int.összesen'!F69</f>
        <v>507819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1:20" ht="12" customHeight="1" x14ac:dyDescent="0.25">
      <c r="A39" s="4">
        <v>2</v>
      </c>
      <c r="B39" s="103" t="s">
        <v>160</v>
      </c>
      <c r="C39" s="122">
        <f>+'5. mell. Önk.össz kiadás'!D23</f>
        <v>31037</v>
      </c>
      <c r="D39" s="122">
        <f>+'5. mell. Önk.össz kiadás'!E23</f>
        <v>0</v>
      </c>
      <c r="E39" s="122">
        <f>+'5. mell. Önk.össz kiadás'!F23</f>
        <v>31037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</row>
    <row r="40" spans="1:20" ht="12" customHeight="1" x14ac:dyDescent="0.25">
      <c r="A40" s="4">
        <v>3</v>
      </c>
      <c r="B40" s="103" t="s">
        <v>158</v>
      </c>
      <c r="C40" s="122">
        <f>+'5. mell. Önk.össz kiadás'!D25+'6.mell Int.összesen'!D73</f>
        <v>10736</v>
      </c>
      <c r="D40" s="122">
        <f>+'5. mell. Önk.össz kiadás'!E25+'6.mell Int.összesen'!E73</f>
        <v>2518</v>
      </c>
      <c r="E40" s="122">
        <f>+'5. mell. Önk.össz kiadás'!F25+'6.mell Int.összesen'!F73</f>
        <v>13254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</row>
    <row r="41" spans="1:20" s="129" customFormat="1" ht="12" customHeight="1" x14ac:dyDescent="0.25">
      <c r="A41" s="5"/>
      <c r="B41" s="106" t="s">
        <v>401</v>
      </c>
      <c r="C41" s="134">
        <f>+C37+C30</f>
        <v>2025822</v>
      </c>
      <c r="D41" s="134">
        <f t="shared" ref="D41:E41" si="9">+D37+D30</f>
        <v>14407</v>
      </c>
      <c r="E41" s="134">
        <f t="shared" si="9"/>
        <v>2040229</v>
      </c>
    </row>
    <row r="42" spans="1:20" ht="12" customHeight="1" x14ac:dyDescent="0.25">
      <c r="A42" s="5" t="s">
        <v>406</v>
      </c>
      <c r="B42" s="136" t="s">
        <v>274</v>
      </c>
      <c r="C42" s="134">
        <f>+'5.g. mell. Egyéb tev.'!D97+'5.g. mell. Egyéb tev.'!D98+'5.g. mell. Egyéb tev.'!D99</f>
        <v>21745</v>
      </c>
      <c r="D42" s="134">
        <f>+'5.g. mell. Egyéb tev.'!E97+'5.g. mell. Egyéb tev.'!E98+'5.g. mell. Egyéb tev.'!E99</f>
        <v>0</v>
      </c>
      <c r="E42" s="134">
        <f>+'5.g. mell. Egyéb tev.'!F97+'5.g. mell. Egyéb tev.'!F98+'5.g. mell. Egyéb tev.'!F99</f>
        <v>21745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</row>
    <row r="43" spans="1:20" s="129" customFormat="1" ht="12" customHeight="1" x14ac:dyDescent="0.25">
      <c r="A43" s="1185" t="s">
        <v>402</v>
      </c>
      <c r="B43" s="1186"/>
      <c r="C43" s="134">
        <f>C42+C41</f>
        <v>2047567</v>
      </c>
      <c r="D43" s="134">
        <f>D42+D41</f>
        <v>14407</v>
      </c>
      <c r="E43" s="134">
        <f t="shared" ref="E43" si="10">E42+E41</f>
        <v>2061974</v>
      </c>
    </row>
    <row r="44" spans="1:20" ht="15" customHeight="1" x14ac:dyDescent="0.25">
      <c r="A44" s="113"/>
      <c r="B44" s="76"/>
      <c r="C44" s="76"/>
      <c r="D44" s="76"/>
      <c r="E44" s="76"/>
      <c r="O44" s="110"/>
      <c r="P44" s="110"/>
      <c r="Q44" s="110"/>
      <c r="R44" s="110"/>
      <c r="S44" s="110"/>
      <c r="T44" s="110"/>
    </row>
    <row r="45" spans="1:20" s="111" customFormat="1" ht="15.75" customHeight="1" x14ac:dyDescent="0.25">
      <c r="A45" s="1187" t="s">
        <v>312</v>
      </c>
      <c r="B45" s="1187"/>
      <c r="C45" s="1187"/>
      <c r="D45" s="1187"/>
      <c r="E45" s="1187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</row>
    <row r="46" spans="1:20" s="76" customFormat="1" x14ac:dyDescent="0.25">
      <c r="A46" s="114" t="s">
        <v>313</v>
      </c>
      <c r="B46" s="115"/>
      <c r="C46" s="110"/>
      <c r="D46" s="110"/>
      <c r="E46" s="110"/>
    </row>
    <row r="47" spans="1:20" ht="21" x14ac:dyDescent="0.25">
      <c r="A47" s="119">
        <v>1</v>
      </c>
      <c r="B47" s="75" t="s">
        <v>407</v>
      </c>
      <c r="C47" s="72">
        <f>+C19-C41</f>
        <v>-750234</v>
      </c>
      <c r="D47" s="72">
        <f t="shared" ref="D47:E47" si="11">+D19-D41</f>
        <v>0</v>
      </c>
      <c r="E47" s="72">
        <f t="shared" si="11"/>
        <v>-750234</v>
      </c>
    </row>
    <row r="48" spans="1:20" x14ac:dyDescent="0.25">
      <c r="A48" s="113"/>
      <c r="B48" s="76"/>
      <c r="C48" s="76"/>
      <c r="D48" s="76"/>
      <c r="E48" s="76"/>
    </row>
    <row r="49" spans="1:20" x14ac:dyDescent="0.25">
      <c r="A49" s="1187" t="s">
        <v>314</v>
      </c>
      <c r="B49" s="1187"/>
      <c r="C49" s="1187"/>
      <c r="D49" s="1187"/>
      <c r="E49" s="1187"/>
    </row>
    <row r="50" spans="1:20" x14ac:dyDescent="0.25">
      <c r="A50" s="114" t="s">
        <v>315</v>
      </c>
      <c r="B50" s="115"/>
    </row>
    <row r="51" spans="1:20" x14ac:dyDescent="0.25">
      <c r="A51" s="119" t="s">
        <v>305</v>
      </c>
      <c r="B51" s="75" t="s">
        <v>316</v>
      </c>
      <c r="C51" s="72">
        <f>+C52-C53</f>
        <v>750234</v>
      </c>
      <c r="D51" s="72">
        <f t="shared" ref="D51:E51" si="12">+D52-D53</f>
        <v>0</v>
      </c>
      <c r="E51" s="72">
        <f t="shared" si="12"/>
        <v>750234</v>
      </c>
    </row>
    <row r="52" spans="1:20" x14ac:dyDescent="0.25">
      <c r="A52" s="120" t="s">
        <v>309</v>
      </c>
      <c r="B52" s="73" t="s">
        <v>408</v>
      </c>
      <c r="C52" s="74">
        <f>+C20</f>
        <v>771979</v>
      </c>
      <c r="D52" s="74">
        <f t="shared" ref="D52:E52" si="13">+D20</f>
        <v>0</v>
      </c>
      <c r="E52" s="74">
        <f t="shared" si="13"/>
        <v>771979</v>
      </c>
    </row>
    <row r="53" spans="1:20" x14ac:dyDescent="0.25">
      <c r="A53" s="120" t="s">
        <v>310</v>
      </c>
      <c r="B53" s="73" t="s">
        <v>409</v>
      </c>
      <c r="C53" s="74">
        <f>+C42</f>
        <v>21745</v>
      </c>
      <c r="D53" s="74">
        <f t="shared" ref="D53:E53" si="14">+D42</f>
        <v>0</v>
      </c>
      <c r="E53" s="74">
        <f t="shared" si="14"/>
        <v>21745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</row>
    <row r="54" spans="1:20" x14ac:dyDescent="0.25">
      <c r="A54" s="113"/>
      <c r="B54" s="76"/>
      <c r="C54" s="76"/>
      <c r="D54" s="76"/>
      <c r="E54" s="76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</row>
    <row r="55" spans="1:20" x14ac:dyDescent="0.25">
      <c r="A55" s="114" t="s">
        <v>317</v>
      </c>
      <c r="B55" s="115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</row>
    <row r="56" spans="1:20" x14ac:dyDescent="0.25">
      <c r="A56" s="90"/>
      <c r="B56" s="75" t="s">
        <v>561</v>
      </c>
      <c r="C56" s="72">
        <f>+C25-C43</f>
        <v>0</v>
      </c>
      <c r="D56" s="72">
        <f t="shared" ref="D56:E56" si="15">+D25-D43</f>
        <v>0</v>
      </c>
      <c r="E56" s="72">
        <f t="shared" si="15"/>
        <v>0</v>
      </c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</row>
    <row r="57" spans="1:20" x14ac:dyDescent="0.25">
      <c r="A57" s="113"/>
      <c r="B57" s="76"/>
      <c r="C57" s="76"/>
      <c r="D57" s="76"/>
      <c r="E57" s="76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</row>
    <row r="58" spans="1:20" x14ac:dyDescent="0.25">
      <c r="A58" s="113"/>
      <c r="B58" s="76"/>
      <c r="C58" s="76"/>
      <c r="D58" s="76"/>
      <c r="E58" s="76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</row>
    <row r="59" spans="1:20" x14ac:dyDescent="0.25">
      <c r="A59" s="113"/>
      <c r="B59" s="76"/>
      <c r="C59" s="76"/>
      <c r="D59" s="76"/>
      <c r="E59" s="76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</row>
    <row r="60" spans="1:20" x14ac:dyDescent="0.25">
      <c r="A60" s="113"/>
      <c r="B60" s="76"/>
      <c r="C60" s="76"/>
      <c r="D60" s="76"/>
      <c r="E60" s="76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</row>
    <row r="61" spans="1:20" x14ac:dyDescent="0.25">
      <c r="A61" s="113"/>
      <c r="B61" s="76"/>
      <c r="C61" s="76"/>
      <c r="D61" s="76"/>
      <c r="E61" s="76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</row>
    <row r="62" spans="1:20" x14ac:dyDescent="0.25">
      <c r="A62" s="113"/>
      <c r="B62" s="76"/>
      <c r="C62" s="76"/>
      <c r="D62" s="76"/>
      <c r="E62" s="76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</row>
    <row r="63" spans="1:20" x14ac:dyDescent="0.25">
      <c r="A63" s="113"/>
      <c r="B63" s="76"/>
      <c r="C63" s="76"/>
      <c r="D63" s="76"/>
      <c r="E63" s="76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</row>
    <row r="64" spans="1:20" x14ac:dyDescent="0.25">
      <c r="A64" s="113"/>
      <c r="B64" s="76"/>
      <c r="C64" s="76"/>
      <c r="D64" s="76"/>
      <c r="E64" s="76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</row>
    <row r="65" spans="1:20" x14ac:dyDescent="0.25">
      <c r="A65" s="113"/>
      <c r="B65" s="76"/>
      <c r="C65" s="76"/>
      <c r="D65" s="76"/>
      <c r="E65" s="76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</row>
    <row r="66" spans="1:20" x14ac:dyDescent="0.25">
      <c r="A66" s="113"/>
      <c r="B66" s="76"/>
      <c r="C66" s="76"/>
      <c r="D66" s="76"/>
      <c r="E66" s="76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</row>
    <row r="67" spans="1:20" x14ac:dyDescent="0.25">
      <c r="A67" s="113"/>
      <c r="B67" s="76"/>
      <c r="C67" s="76"/>
      <c r="D67" s="76"/>
      <c r="E67" s="76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</row>
    <row r="68" spans="1:20" x14ac:dyDescent="0.25">
      <c r="A68" s="113"/>
      <c r="B68" s="76"/>
      <c r="C68" s="76"/>
      <c r="D68" s="76"/>
      <c r="E68" s="76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x14ac:dyDescent="0.25">
      <c r="A69" s="113"/>
      <c r="B69" s="76"/>
      <c r="C69" s="76"/>
      <c r="D69" s="76"/>
      <c r="E69" s="76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</row>
    <row r="70" spans="1:20" x14ac:dyDescent="0.25">
      <c r="A70" s="113"/>
      <c r="B70" s="76"/>
      <c r="C70" s="76"/>
      <c r="D70" s="76"/>
      <c r="E70" s="76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</row>
    <row r="71" spans="1:20" x14ac:dyDescent="0.25">
      <c r="A71" s="113"/>
      <c r="B71" s="76"/>
      <c r="C71" s="76"/>
      <c r="D71" s="76"/>
      <c r="E71" s="76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</row>
    <row r="72" spans="1:20" x14ac:dyDescent="0.25">
      <c r="A72" s="113"/>
      <c r="B72" s="76"/>
      <c r="C72" s="76"/>
      <c r="D72" s="76"/>
      <c r="E72" s="76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</row>
    <row r="73" spans="1:20" x14ac:dyDescent="0.25">
      <c r="A73" s="113"/>
      <c r="B73" s="76"/>
      <c r="C73" s="76"/>
      <c r="D73" s="76"/>
      <c r="E73" s="76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</row>
    <row r="74" spans="1:20" x14ac:dyDescent="0.25">
      <c r="A74" s="113"/>
      <c r="B74" s="76"/>
      <c r="C74" s="76"/>
      <c r="D74" s="76"/>
      <c r="E74" s="76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</row>
    <row r="75" spans="1:20" x14ac:dyDescent="0.25">
      <c r="A75" s="113"/>
      <c r="B75" s="76"/>
      <c r="C75" s="76"/>
      <c r="D75" s="76"/>
      <c r="E75" s="76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</row>
    <row r="76" spans="1:20" x14ac:dyDescent="0.25">
      <c r="A76" s="113"/>
      <c r="B76" s="76"/>
      <c r="C76" s="76"/>
      <c r="D76" s="76"/>
      <c r="E76" s="76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</row>
    <row r="77" spans="1:20" x14ac:dyDescent="0.25">
      <c r="A77" s="113"/>
      <c r="B77" s="76"/>
      <c r="C77" s="76"/>
      <c r="D77" s="76"/>
      <c r="E77" s="76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</row>
    <row r="78" spans="1:20" x14ac:dyDescent="0.25">
      <c r="A78" s="113"/>
      <c r="B78" s="76"/>
      <c r="C78" s="76"/>
      <c r="D78" s="76"/>
      <c r="E78" s="76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</row>
    <row r="79" spans="1:20" x14ac:dyDescent="0.25">
      <c r="A79" s="113"/>
      <c r="B79" s="76"/>
      <c r="C79" s="76"/>
      <c r="D79" s="76"/>
      <c r="E79" s="76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</row>
    <row r="80" spans="1:20" x14ac:dyDescent="0.25">
      <c r="A80" s="113"/>
      <c r="B80" s="76"/>
      <c r="C80" s="76"/>
      <c r="D80" s="76"/>
      <c r="E80" s="76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</row>
    <row r="81" spans="1:20" x14ac:dyDescent="0.25">
      <c r="A81" s="113"/>
      <c r="B81" s="76"/>
      <c r="C81" s="76"/>
      <c r="D81" s="76"/>
      <c r="E81" s="76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</row>
    <row r="82" spans="1:20" x14ac:dyDescent="0.25">
      <c r="A82" s="113"/>
      <c r="B82" s="76"/>
      <c r="C82" s="76"/>
      <c r="D82" s="76"/>
      <c r="E82" s="76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</row>
    <row r="83" spans="1:20" x14ac:dyDescent="0.25">
      <c r="A83" s="113"/>
      <c r="B83" s="76"/>
      <c r="C83" s="76"/>
      <c r="D83" s="76"/>
      <c r="E83" s="76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</row>
    <row r="84" spans="1:20" x14ac:dyDescent="0.25">
      <c r="A84" s="113"/>
      <c r="B84" s="76"/>
      <c r="C84" s="76"/>
      <c r="D84" s="76"/>
      <c r="E84" s="76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</row>
    <row r="85" spans="1:20" x14ac:dyDescent="0.25">
      <c r="A85" s="113"/>
      <c r="B85" s="76"/>
      <c r="C85" s="76"/>
      <c r="D85" s="76"/>
      <c r="E85" s="76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</row>
    <row r="86" spans="1:20" x14ac:dyDescent="0.25">
      <c r="A86" s="113"/>
      <c r="B86" s="76"/>
      <c r="C86" s="76"/>
      <c r="D86" s="76"/>
      <c r="E86" s="76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</row>
    <row r="87" spans="1:20" x14ac:dyDescent="0.25">
      <c r="A87" s="113"/>
      <c r="B87" s="76"/>
      <c r="C87" s="76"/>
      <c r="D87" s="76"/>
      <c r="E87" s="76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</row>
    <row r="88" spans="1:20" x14ac:dyDescent="0.25">
      <c r="A88" s="113"/>
      <c r="B88" s="76"/>
      <c r="C88" s="76"/>
      <c r="D88" s="76"/>
      <c r="E88" s="76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</row>
    <row r="89" spans="1:20" x14ac:dyDescent="0.25">
      <c r="A89" s="113"/>
      <c r="B89" s="76"/>
      <c r="C89" s="76"/>
      <c r="D89" s="76"/>
      <c r="E89" s="76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</row>
    <row r="90" spans="1:20" x14ac:dyDescent="0.25">
      <c r="A90" s="113"/>
      <c r="B90" s="76"/>
      <c r="C90" s="76"/>
      <c r="D90" s="76"/>
      <c r="E90" s="76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</row>
    <row r="91" spans="1:20" x14ac:dyDescent="0.25">
      <c r="A91" s="113"/>
      <c r="B91" s="76"/>
      <c r="C91" s="76"/>
      <c r="D91" s="76"/>
      <c r="E91" s="76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</row>
    <row r="92" spans="1:20" x14ac:dyDescent="0.25">
      <c r="A92" s="113"/>
      <c r="B92" s="76"/>
      <c r="C92" s="76"/>
      <c r="D92" s="76"/>
      <c r="E92" s="76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</row>
    <row r="93" spans="1:20" x14ac:dyDescent="0.25">
      <c r="A93" s="113"/>
      <c r="B93" s="76"/>
      <c r="C93" s="76"/>
      <c r="D93" s="76"/>
      <c r="E93" s="76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</row>
    <row r="94" spans="1:20" x14ac:dyDescent="0.25">
      <c r="A94" s="113"/>
      <c r="B94" s="76"/>
      <c r="C94" s="76"/>
      <c r="D94" s="76"/>
      <c r="E94" s="76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</row>
    <row r="95" spans="1:20" x14ac:dyDescent="0.25">
      <c r="A95" s="113"/>
      <c r="B95" s="76"/>
      <c r="C95" s="76"/>
      <c r="D95" s="76"/>
      <c r="E95" s="76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</row>
    <row r="96" spans="1:20" x14ac:dyDescent="0.25">
      <c r="A96" s="113"/>
      <c r="B96" s="76"/>
      <c r="C96" s="76"/>
      <c r="D96" s="76"/>
      <c r="E96" s="76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</row>
    <row r="97" spans="1:20" x14ac:dyDescent="0.25">
      <c r="A97" s="113"/>
      <c r="B97" s="76"/>
      <c r="C97" s="76"/>
      <c r="D97" s="76"/>
      <c r="E97" s="76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</row>
    <row r="98" spans="1:20" x14ac:dyDescent="0.25">
      <c r="A98" s="113"/>
      <c r="B98" s="76"/>
      <c r="C98" s="76"/>
      <c r="D98" s="76"/>
      <c r="E98" s="76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</row>
    <row r="99" spans="1:20" x14ac:dyDescent="0.25">
      <c r="A99" s="113"/>
      <c r="B99" s="76"/>
      <c r="C99" s="76"/>
      <c r="D99" s="76"/>
      <c r="E99" s="76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</row>
    <row r="100" spans="1:20" x14ac:dyDescent="0.25">
      <c r="A100" s="113"/>
      <c r="B100" s="76"/>
      <c r="C100" s="76"/>
      <c r="D100" s="76"/>
      <c r="E100" s="76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</row>
    <row r="101" spans="1:20" x14ac:dyDescent="0.25">
      <c r="A101" s="113"/>
      <c r="B101" s="76"/>
      <c r="C101" s="76"/>
      <c r="D101" s="76"/>
      <c r="E101" s="76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</row>
    <row r="102" spans="1:20" x14ac:dyDescent="0.25">
      <c r="A102" s="113"/>
      <c r="B102" s="76"/>
      <c r="C102" s="76"/>
      <c r="D102" s="76"/>
      <c r="E102" s="76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</row>
    <row r="103" spans="1:20" x14ac:dyDescent="0.25">
      <c r="A103" s="113"/>
      <c r="B103" s="76"/>
      <c r="C103" s="76"/>
      <c r="D103" s="76"/>
      <c r="E103" s="76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</row>
    <row r="104" spans="1:20" x14ac:dyDescent="0.25">
      <c r="A104" s="113"/>
      <c r="B104" s="76"/>
      <c r="C104" s="76"/>
      <c r="D104" s="76"/>
      <c r="E104" s="76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</row>
    <row r="105" spans="1:20" x14ac:dyDescent="0.25">
      <c r="A105" s="113"/>
      <c r="B105" s="76"/>
      <c r="C105" s="76"/>
      <c r="D105" s="76"/>
      <c r="E105" s="76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</row>
    <row r="106" spans="1:20" x14ac:dyDescent="0.25">
      <c r="A106" s="113"/>
      <c r="B106" s="76"/>
      <c r="C106" s="76"/>
      <c r="D106" s="76"/>
      <c r="E106" s="76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</row>
    <row r="107" spans="1:20" x14ac:dyDescent="0.25">
      <c r="A107" s="113"/>
      <c r="B107" s="76"/>
      <c r="C107" s="76"/>
      <c r="D107" s="76"/>
      <c r="E107" s="76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</row>
    <row r="108" spans="1:20" x14ac:dyDescent="0.25">
      <c r="A108" s="113"/>
      <c r="B108" s="76"/>
      <c r="C108" s="76"/>
      <c r="D108" s="76"/>
      <c r="E108" s="76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</row>
    <row r="109" spans="1:20" x14ac:dyDescent="0.25">
      <c r="A109" s="113"/>
      <c r="B109" s="76"/>
      <c r="C109" s="76"/>
      <c r="D109" s="76"/>
      <c r="E109" s="76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</row>
    <row r="110" spans="1:20" x14ac:dyDescent="0.25">
      <c r="A110" s="113"/>
      <c r="B110" s="76"/>
      <c r="C110" s="76"/>
      <c r="D110" s="76"/>
      <c r="E110" s="76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</row>
    <row r="111" spans="1:20" x14ac:dyDescent="0.25">
      <c r="A111" s="113"/>
      <c r="B111" s="76"/>
      <c r="C111" s="76"/>
      <c r="D111" s="76"/>
      <c r="E111" s="76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</row>
    <row r="112" spans="1:20" x14ac:dyDescent="0.25">
      <c r="A112" s="113"/>
      <c r="B112" s="76"/>
      <c r="C112" s="76"/>
      <c r="D112" s="76"/>
      <c r="E112" s="76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</row>
    <row r="113" spans="1:20" x14ac:dyDescent="0.25">
      <c r="A113" s="113"/>
      <c r="B113" s="76"/>
      <c r="C113" s="76"/>
      <c r="D113" s="76"/>
      <c r="E113" s="76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</row>
    <row r="114" spans="1:20" x14ac:dyDescent="0.25">
      <c r="A114" s="113"/>
      <c r="B114" s="76"/>
      <c r="C114" s="76"/>
      <c r="D114" s="76"/>
      <c r="E114" s="76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</row>
    <row r="115" spans="1:20" x14ac:dyDescent="0.25">
      <c r="A115" s="113"/>
      <c r="B115" s="76"/>
      <c r="C115" s="76"/>
      <c r="D115" s="76"/>
      <c r="E115" s="76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</row>
    <row r="116" spans="1:20" x14ac:dyDescent="0.25">
      <c r="A116" s="113"/>
      <c r="B116" s="76"/>
      <c r="C116" s="76"/>
      <c r="D116" s="76"/>
      <c r="E116" s="76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</row>
    <row r="117" spans="1:20" s="76" customFormat="1" ht="11.25" x14ac:dyDescent="0.2">
      <c r="A117" s="113"/>
    </row>
    <row r="118" spans="1:20" s="76" customFormat="1" ht="11.25" x14ac:dyDescent="0.2">
      <c r="A118" s="113"/>
    </row>
    <row r="119" spans="1:20" s="76" customFormat="1" ht="11.25" x14ac:dyDescent="0.2">
      <c r="A119" s="113"/>
    </row>
    <row r="120" spans="1:20" s="76" customFormat="1" ht="11.25" x14ac:dyDescent="0.2">
      <c r="A120" s="113"/>
    </row>
    <row r="121" spans="1:20" s="76" customFormat="1" ht="11.25" x14ac:dyDescent="0.2">
      <c r="A121" s="113"/>
    </row>
    <row r="122" spans="1:20" s="76" customFormat="1" ht="11.25" x14ac:dyDescent="0.2">
      <c r="A122" s="113"/>
    </row>
    <row r="123" spans="1:20" s="76" customFormat="1" ht="11.25" x14ac:dyDescent="0.2">
      <c r="A123" s="113"/>
    </row>
    <row r="124" spans="1:20" s="76" customFormat="1" ht="11.25" x14ac:dyDescent="0.2">
      <c r="A124" s="113"/>
    </row>
    <row r="125" spans="1:20" s="76" customFormat="1" ht="11.25" x14ac:dyDescent="0.2">
      <c r="A125" s="113"/>
    </row>
    <row r="126" spans="1:20" s="76" customFormat="1" ht="11.25" x14ac:dyDescent="0.2">
      <c r="A126" s="113"/>
    </row>
    <row r="127" spans="1:20" s="76" customFormat="1" ht="11.25" x14ac:dyDescent="0.2">
      <c r="A127" s="113"/>
    </row>
    <row r="128" spans="1:20" s="76" customFormat="1" x14ac:dyDescent="0.25">
      <c r="A128" s="116"/>
      <c r="B128" s="110"/>
      <c r="C128" s="110"/>
      <c r="D128" s="110"/>
      <c r="E128" s="110"/>
    </row>
    <row r="129" spans="1:5" s="76" customFormat="1" x14ac:dyDescent="0.25">
      <c r="A129" s="116"/>
      <c r="B129" s="110"/>
      <c r="C129" s="110"/>
      <c r="D129" s="110"/>
      <c r="E129" s="110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2021.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zoomScaleNormal="100" workbookViewId="0">
      <selection activeCell="L84" sqref="L84"/>
    </sheetView>
  </sheetViews>
  <sheetFormatPr defaultColWidth="8.7109375" defaultRowHeight="15" x14ac:dyDescent="0.25"/>
  <cols>
    <col min="1" max="1" width="6.140625" style="594" customWidth="1"/>
    <col min="2" max="2" width="7.140625" style="595" customWidth="1"/>
    <col min="3" max="3" width="25" style="595" customWidth="1"/>
    <col min="4" max="4" width="8.85546875" style="596" bestFit="1" customWidth="1"/>
    <col min="5" max="5" width="7.28515625" style="596" customWidth="1"/>
    <col min="6" max="6" width="12.140625" style="596" customWidth="1"/>
    <col min="7" max="7" width="8.85546875" style="596" bestFit="1" customWidth="1"/>
    <col min="8" max="8" width="7.42578125" style="596" customWidth="1"/>
    <col min="9" max="9" width="9.42578125" style="596" customWidth="1"/>
    <col min="10" max="10" width="8.85546875" style="596" bestFit="1" customWidth="1"/>
    <col min="11" max="11" width="7.140625" style="596" customWidth="1"/>
    <col min="12" max="12" width="7.28515625" style="596" customWidth="1"/>
    <col min="13" max="13" width="7.140625" style="596" customWidth="1"/>
    <col min="14" max="14" width="6.85546875" style="596" customWidth="1"/>
    <col min="15" max="15" width="7.5703125" style="596" customWidth="1"/>
    <col min="16" max="16" width="8.140625" style="596" customWidth="1"/>
    <col min="17" max="17" width="6.7109375" style="596" bestFit="1" customWidth="1"/>
    <col min="18" max="18" width="7.28515625" style="596" customWidth="1"/>
    <col min="19" max="16384" width="8.7109375" style="571"/>
  </cols>
  <sheetData>
    <row r="1" spans="1:18" x14ac:dyDescent="0.25">
      <c r="A1" s="568"/>
      <c r="B1" s="569"/>
      <c r="C1" s="569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1412" t="s">
        <v>383</v>
      </c>
      <c r="Q1" s="1412"/>
      <c r="R1" s="1412"/>
    </row>
    <row r="2" spans="1:18" ht="40.5" customHeight="1" x14ac:dyDescent="0.25">
      <c r="A2" s="1415" t="s">
        <v>0</v>
      </c>
      <c r="B2" s="1415" t="s">
        <v>182</v>
      </c>
      <c r="C2" s="1415"/>
      <c r="D2" s="1346" t="s">
        <v>180</v>
      </c>
      <c r="E2" s="1346"/>
      <c r="F2" s="1346"/>
      <c r="G2" s="1346" t="s">
        <v>185</v>
      </c>
      <c r="H2" s="1346"/>
      <c r="I2" s="1346"/>
      <c r="J2" s="1346" t="s">
        <v>286</v>
      </c>
      <c r="K2" s="1346"/>
      <c r="L2" s="1346"/>
      <c r="M2" s="1346" t="s">
        <v>287</v>
      </c>
      <c r="N2" s="1346"/>
      <c r="O2" s="1346"/>
      <c r="P2" s="1346" t="s">
        <v>560</v>
      </c>
      <c r="Q2" s="1346"/>
      <c r="R2" s="1346"/>
    </row>
    <row r="3" spans="1:18" ht="15" customHeight="1" x14ac:dyDescent="0.25">
      <c r="A3" s="1415"/>
      <c r="B3" s="1415"/>
      <c r="C3" s="1415"/>
      <c r="D3" s="1346"/>
      <c r="E3" s="1346"/>
      <c r="F3" s="1346"/>
      <c r="G3" s="1346" t="s">
        <v>189</v>
      </c>
      <c r="H3" s="1346"/>
      <c r="I3" s="1346"/>
      <c r="J3" s="1346" t="s">
        <v>189</v>
      </c>
      <c r="K3" s="1346"/>
      <c r="L3" s="1346"/>
      <c r="M3" s="1346" t="s">
        <v>189</v>
      </c>
      <c r="N3" s="1346"/>
      <c r="O3" s="1346"/>
      <c r="P3" s="1346" t="s">
        <v>189</v>
      </c>
      <c r="Q3" s="1346"/>
      <c r="R3" s="1346"/>
    </row>
    <row r="4" spans="1:18" s="572" customFormat="1" ht="25.5" customHeight="1" x14ac:dyDescent="0.25">
      <c r="A4" s="1415"/>
      <c r="B4" s="1415"/>
      <c r="C4" s="1415"/>
      <c r="D4" s="951" t="s">
        <v>944</v>
      </c>
      <c r="E4" s="951" t="s">
        <v>684</v>
      </c>
      <c r="F4" s="951" t="s">
        <v>940</v>
      </c>
      <c r="G4" s="951" t="s">
        <v>944</v>
      </c>
      <c r="H4" s="995" t="s">
        <v>684</v>
      </c>
      <c r="I4" s="995" t="s">
        <v>940</v>
      </c>
      <c r="J4" s="995" t="s">
        <v>944</v>
      </c>
      <c r="K4" s="995" t="s">
        <v>684</v>
      </c>
      <c r="L4" s="995" t="s">
        <v>940</v>
      </c>
      <c r="M4" s="995" t="s">
        <v>944</v>
      </c>
      <c r="N4" s="995" t="s">
        <v>684</v>
      </c>
      <c r="O4" s="995" t="s">
        <v>940</v>
      </c>
      <c r="P4" s="995" t="s">
        <v>944</v>
      </c>
      <c r="Q4" s="995" t="s">
        <v>684</v>
      </c>
      <c r="R4" s="995" t="s">
        <v>940</v>
      </c>
    </row>
    <row r="5" spans="1:18" ht="23.25" customHeight="1" x14ac:dyDescent="0.25">
      <c r="A5" s="573" t="s">
        <v>2</v>
      </c>
      <c r="B5" s="1414" t="s">
        <v>1</v>
      </c>
      <c r="C5" s="1414"/>
      <c r="D5" s="864">
        <f>+G5+J5+M5+P5</f>
        <v>132340</v>
      </c>
      <c r="E5" s="864">
        <f>+H5+K5+N5+Q5</f>
        <v>-27</v>
      </c>
      <c r="F5" s="864">
        <f>+I5+L5+O5+R5</f>
        <v>132313</v>
      </c>
      <c r="G5" s="864">
        <v>131374</v>
      </c>
      <c r="H5" s="864">
        <f>-127+187-87</f>
        <v>-27</v>
      </c>
      <c r="I5" s="864">
        <f>+G5+H5</f>
        <v>131347</v>
      </c>
      <c r="J5" s="864">
        <v>966</v>
      </c>
      <c r="K5" s="864"/>
      <c r="L5" s="871">
        <f>+K5+J5</f>
        <v>966</v>
      </c>
      <c r="M5" s="864"/>
      <c r="N5" s="864"/>
      <c r="O5" s="864">
        <f t="shared" ref="O5:O18" si="0">+M5+N5</f>
        <v>0</v>
      </c>
      <c r="P5" s="864"/>
      <c r="Q5" s="864"/>
      <c r="R5" s="864">
        <f t="shared" ref="R5:R18" si="1">+P5+Q5</f>
        <v>0</v>
      </c>
    </row>
    <row r="6" spans="1:18" ht="15" customHeight="1" x14ac:dyDescent="0.25">
      <c r="A6" s="573" t="s">
        <v>4</v>
      </c>
      <c r="B6" s="1414" t="s">
        <v>3</v>
      </c>
      <c r="C6" s="1414"/>
      <c r="D6" s="864">
        <f t="shared" ref="D6:F18" si="2">+G6+J6+M6+P6</f>
        <v>0</v>
      </c>
      <c r="E6" s="864">
        <f t="shared" si="2"/>
        <v>0</v>
      </c>
      <c r="F6" s="864">
        <f t="shared" si="2"/>
        <v>0</v>
      </c>
      <c r="G6" s="864"/>
      <c r="H6" s="864"/>
      <c r="I6" s="864">
        <f t="shared" ref="I6:I22" si="3">+G6+H6</f>
        <v>0</v>
      </c>
      <c r="J6" s="864"/>
      <c r="K6" s="864"/>
      <c r="L6" s="871">
        <f t="shared" ref="L6:L18" si="4">+K6+J6</f>
        <v>0</v>
      </c>
      <c r="M6" s="864"/>
      <c r="N6" s="864"/>
      <c r="O6" s="864">
        <f t="shared" si="0"/>
        <v>0</v>
      </c>
      <c r="P6" s="864"/>
      <c r="Q6" s="864"/>
      <c r="R6" s="864">
        <f t="shared" si="1"/>
        <v>0</v>
      </c>
    </row>
    <row r="7" spans="1:18" ht="15" customHeight="1" x14ac:dyDescent="0.25">
      <c r="A7" s="573" t="s">
        <v>6</v>
      </c>
      <c r="B7" s="1414" t="s">
        <v>5</v>
      </c>
      <c r="C7" s="1414"/>
      <c r="D7" s="864">
        <f t="shared" si="2"/>
        <v>0</v>
      </c>
      <c r="E7" s="864">
        <f t="shared" si="2"/>
        <v>0</v>
      </c>
      <c r="F7" s="864">
        <f t="shared" si="2"/>
        <v>0</v>
      </c>
      <c r="G7" s="864"/>
      <c r="H7" s="864"/>
      <c r="I7" s="864">
        <f t="shared" si="3"/>
        <v>0</v>
      </c>
      <c r="J7" s="864"/>
      <c r="K7" s="864"/>
      <c r="L7" s="871">
        <f t="shared" si="4"/>
        <v>0</v>
      </c>
      <c r="M7" s="864"/>
      <c r="N7" s="864"/>
      <c r="O7" s="864">
        <f t="shared" si="0"/>
        <v>0</v>
      </c>
      <c r="P7" s="864"/>
      <c r="Q7" s="864"/>
      <c r="R7" s="864">
        <f t="shared" si="1"/>
        <v>0</v>
      </c>
    </row>
    <row r="8" spans="1:18" ht="22.5" customHeight="1" x14ac:dyDescent="0.25">
      <c r="A8" s="573" t="s">
        <v>8</v>
      </c>
      <c r="B8" s="1414" t="s">
        <v>7</v>
      </c>
      <c r="C8" s="1414"/>
      <c r="D8" s="864">
        <f t="shared" si="2"/>
        <v>1100</v>
      </c>
      <c r="E8" s="864">
        <f t="shared" si="2"/>
        <v>0</v>
      </c>
      <c r="F8" s="864">
        <f t="shared" si="2"/>
        <v>1100</v>
      </c>
      <c r="G8" s="865">
        <v>1100</v>
      </c>
      <c r="H8" s="864"/>
      <c r="I8" s="864">
        <f t="shared" si="3"/>
        <v>1100</v>
      </c>
      <c r="J8" s="864"/>
      <c r="K8" s="864"/>
      <c r="L8" s="871">
        <f t="shared" si="4"/>
        <v>0</v>
      </c>
      <c r="M8" s="864"/>
      <c r="N8" s="864"/>
      <c r="O8" s="864">
        <f t="shared" si="0"/>
        <v>0</v>
      </c>
      <c r="P8" s="864"/>
      <c r="Q8" s="864"/>
      <c r="R8" s="864">
        <f t="shared" si="1"/>
        <v>0</v>
      </c>
    </row>
    <row r="9" spans="1:18" ht="15" customHeight="1" x14ac:dyDescent="0.25">
      <c r="A9" s="573" t="s">
        <v>10</v>
      </c>
      <c r="B9" s="1414" t="s">
        <v>9</v>
      </c>
      <c r="C9" s="1414"/>
      <c r="D9" s="864">
        <v>0</v>
      </c>
      <c r="E9" s="864">
        <f t="shared" si="2"/>
        <v>0</v>
      </c>
      <c r="F9" s="864">
        <v>0</v>
      </c>
      <c r="G9" s="864">
        <v>0</v>
      </c>
      <c r="H9" s="864"/>
      <c r="I9" s="864">
        <f t="shared" si="3"/>
        <v>0</v>
      </c>
      <c r="J9" s="864"/>
      <c r="K9" s="864"/>
      <c r="L9" s="871">
        <f t="shared" si="4"/>
        <v>0</v>
      </c>
      <c r="M9" s="864"/>
      <c r="N9" s="864"/>
      <c r="O9" s="864">
        <f t="shared" si="0"/>
        <v>0</v>
      </c>
      <c r="P9" s="864"/>
      <c r="Q9" s="864"/>
      <c r="R9" s="864">
        <f t="shared" si="1"/>
        <v>0</v>
      </c>
    </row>
    <row r="10" spans="1:18" ht="15" customHeight="1" x14ac:dyDescent="0.25">
      <c r="A10" s="573" t="s">
        <v>12</v>
      </c>
      <c r="B10" s="1414" t="s">
        <v>11</v>
      </c>
      <c r="C10" s="1414"/>
      <c r="D10" s="864">
        <f t="shared" ref="D10" si="5">+G10+J10+M10+P10</f>
        <v>4131</v>
      </c>
      <c r="E10" s="864">
        <f t="shared" ref="E10" si="6">+H10+K10+N10+Q10</f>
        <v>0</v>
      </c>
      <c r="F10" s="864">
        <f t="shared" ref="F10" si="7">+I10+L10+O10+R10</f>
        <v>4131</v>
      </c>
      <c r="G10" s="864">
        <v>4131</v>
      </c>
      <c r="H10" s="864"/>
      <c r="I10" s="864">
        <f t="shared" ref="I10" si="8">+G10+H10</f>
        <v>4131</v>
      </c>
      <c r="J10" s="864"/>
      <c r="K10" s="864"/>
      <c r="L10" s="871">
        <f t="shared" ref="L10" si="9">+K10+J10</f>
        <v>0</v>
      </c>
      <c r="M10" s="864"/>
      <c r="N10" s="864"/>
      <c r="O10" s="864">
        <f t="shared" ref="O10" si="10">+M10+N10</f>
        <v>0</v>
      </c>
      <c r="P10" s="864"/>
      <c r="Q10" s="864"/>
      <c r="R10" s="864">
        <f t="shared" ref="R10" si="11">+P10+Q10</f>
        <v>0</v>
      </c>
    </row>
    <row r="11" spans="1:18" ht="15" customHeight="1" x14ac:dyDescent="0.25">
      <c r="A11" s="573" t="s">
        <v>14</v>
      </c>
      <c r="B11" s="1414" t="s">
        <v>13</v>
      </c>
      <c r="C11" s="1414"/>
      <c r="D11" s="864">
        <f>+G11+J11+M11+P11</f>
        <v>2148</v>
      </c>
      <c r="E11" s="864">
        <f>+H11+K11+N11+Q11</f>
        <v>182</v>
      </c>
      <c r="F11" s="864">
        <f>+I11+L11+O11+R11</f>
        <v>2330</v>
      </c>
      <c r="G11" s="864">
        <v>2088</v>
      </c>
      <c r="H11" s="864">
        <v>182</v>
      </c>
      <c r="I11" s="864">
        <f>+G11+H11</f>
        <v>2270</v>
      </c>
      <c r="J11" s="864">
        <v>60</v>
      </c>
      <c r="K11" s="864"/>
      <c r="L11" s="871">
        <f>+K11+J11</f>
        <v>60</v>
      </c>
      <c r="M11" s="864"/>
      <c r="N11" s="864"/>
      <c r="O11" s="864">
        <f>+M11+N11</f>
        <v>0</v>
      </c>
      <c r="P11" s="864"/>
      <c r="Q11" s="864"/>
      <c r="R11" s="864">
        <f>+P11+Q11</f>
        <v>0</v>
      </c>
    </row>
    <row r="12" spans="1:18" ht="15" customHeight="1" x14ac:dyDescent="0.25">
      <c r="A12" s="573" t="s">
        <v>16</v>
      </c>
      <c r="B12" s="1414" t="s">
        <v>15</v>
      </c>
      <c r="C12" s="1414"/>
      <c r="D12" s="864">
        <f t="shared" si="2"/>
        <v>0</v>
      </c>
      <c r="E12" s="864">
        <f t="shared" si="2"/>
        <v>0</v>
      </c>
      <c r="F12" s="864">
        <f t="shared" si="2"/>
        <v>0</v>
      </c>
      <c r="G12" s="864"/>
      <c r="H12" s="864"/>
      <c r="I12" s="864">
        <f t="shared" si="3"/>
        <v>0</v>
      </c>
      <c r="J12" s="864"/>
      <c r="K12" s="864"/>
      <c r="L12" s="871">
        <f t="shared" si="4"/>
        <v>0</v>
      </c>
      <c r="M12" s="864"/>
      <c r="N12" s="864"/>
      <c r="O12" s="864">
        <f t="shared" si="0"/>
        <v>0</v>
      </c>
      <c r="P12" s="864"/>
      <c r="Q12" s="864"/>
      <c r="R12" s="864">
        <f t="shared" si="1"/>
        <v>0</v>
      </c>
    </row>
    <row r="13" spans="1:18" ht="15" customHeight="1" x14ac:dyDescent="0.25">
      <c r="A13" s="573" t="s">
        <v>18</v>
      </c>
      <c r="B13" s="1414" t="s">
        <v>17</v>
      </c>
      <c r="C13" s="1414"/>
      <c r="D13" s="864">
        <f t="shared" si="2"/>
        <v>795</v>
      </c>
      <c r="E13" s="864">
        <f t="shared" si="2"/>
        <v>0</v>
      </c>
      <c r="F13" s="864">
        <f t="shared" si="2"/>
        <v>795</v>
      </c>
      <c r="G13" s="864">
        <v>795</v>
      </c>
      <c r="H13" s="864"/>
      <c r="I13" s="864">
        <f t="shared" si="3"/>
        <v>795</v>
      </c>
      <c r="J13" s="864"/>
      <c r="K13" s="864"/>
      <c r="L13" s="871">
        <f t="shared" si="4"/>
        <v>0</v>
      </c>
      <c r="M13" s="864"/>
      <c r="N13" s="864"/>
      <c r="O13" s="864">
        <f t="shared" si="0"/>
        <v>0</v>
      </c>
      <c r="P13" s="864"/>
      <c r="Q13" s="864"/>
      <c r="R13" s="864">
        <f t="shared" si="1"/>
        <v>0</v>
      </c>
    </row>
    <row r="14" spans="1:18" ht="15" customHeight="1" x14ac:dyDescent="0.25">
      <c r="A14" s="573" t="s">
        <v>20</v>
      </c>
      <c r="B14" s="1414" t="s">
        <v>19</v>
      </c>
      <c r="C14" s="1414"/>
      <c r="D14" s="864">
        <f t="shared" si="2"/>
        <v>0</v>
      </c>
      <c r="E14" s="864">
        <f t="shared" si="2"/>
        <v>0</v>
      </c>
      <c r="F14" s="864">
        <f t="shared" si="2"/>
        <v>0</v>
      </c>
      <c r="G14" s="864"/>
      <c r="H14" s="864"/>
      <c r="I14" s="864">
        <f t="shared" si="3"/>
        <v>0</v>
      </c>
      <c r="J14" s="864"/>
      <c r="K14" s="864"/>
      <c r="L14" s="871">
        <f t="shared" si="4"/>
        <v>0</v>
      </c>
      <c r="M14" s="864"/>
      <c r="N14" s="864"/>
      <c r="O14" s="864">
        <f t="shared" si="0"/>
        <v>0</v>
      </c>
      <c r="P14" s="864"/>
      <c r="Q14" s="864"/>
      <c r="R14" s="864">
        <f t="shared" si="1"/>
        <v>0</v>
      </c>
    </row>
    <row r="15" spans="1:18" ht="15" customHeight="1" x14ac:dyDescent="0.25">
      <c r="A15" s="573" t="s">
        <v>22</v>
      </c>
      <c r="B15" s="1414" t="s">
        <v>21</v>
      </c>
      <c r="C15" s="1414"/>
      <c r="D15" s="864">
        <f t="shared" si="2"/>
        <v>0</v>
      </c>
      <c r="E15" s="864">
        <f t="shared" si="2"/>
        <v>0</v>
      </c>
      <c r="F15" s="864">
        <f t="shared" si="2"/>
        <v>0</v>
      </c>
      <c r="G15" s="864"/>
      <c r="H15" s="864"/>
      <c r="I15" s="864">
        <f t="shared" si="3"/>
        <v>0</v>
      </c>
      <c r="J15" s="864"/>
      <c r="K15" s="864"/>
      <c r="L15" s="871">
        <f t="shared" si="4"/>
        <v>0</v>
      </c>
      <c r="M15" s="864"/>
      <c r="N15" s="864"/>
      <c r="O15" s="864">
        <f t="shared" si="0"/>
        <v>0</v>
      </c>
      <c r="P15" s="864"/>
      <c r="Q15" s="864"/>
      <c r="R15" s="864">
        <f t="shared" si="1"/>
        <v>0</v>
      </c>
    </row>
    <row r="16" spans="1:18" ht="15" customHeight="1" x14ac:dyDescent="0.25">
      <c r="A16" s="573" t="s">
        <v>24</v>
      </c>
      <c r="B16" s="1414" t="s">
        <v>23</v>
      </c>
      <c r="C16" s="1414"/>
      <c r="D16" s="864">
        <f t="shared" si="2"/>
        <v>0</v>
      </c>
      <c r="E16" s="864">
        <f t="shared" si="2"/>
        <v>0</v>
      </c>
      <c r="F16" s="864">
        <f t="shared" si="2"/>
        <v>0</v>
      </c>
      <c r="G16" s="864"/>
      <c r="H16" s="864"/>
      <c r="I16" s="864">
        <f t="shared" si="3"/>
        <v>0</v>
      </c>
      <c r="J16" s="864"/>
      <c r="K16" s="864"/>
      <c r="L16" s="871">
        <f t="shared" si="4"/>
        <v>0</v>
      </c>
      <c r="M16" s="864"/>
      <c r="N16" s="864"/>
      <c r="O16" s="864">
        <f t="shared" si="0"/>
        <v>0</v>
      </c>
      <c r="P16" s="864"/>
      <c r="Q16" s="864"/>
      <c r="R16" s="864">
        <f t="shared" si="1"/>
        <v>0</v>
      </c>
    </row>
    <row r="17" spans="1:18" ht="27.75" customHeight="1" x14ac:dyDescent="0.25">
      <c r="A17" s="573" t="s">
        <v>25</v>
      </c>
      <c r="B17" s="1414" t="s">
        <v>175</v>
      </c>
      <c r="C17" s="1414"/>
      <c r="D17" s="864">
        <f t="shared" si="2"/>
        <v>916</v>
      </c>
      <c r="E17" s="864">
        <f t="shared" si="2"/>
        <v>128</v>
      </c>
      <c r="F17" s="864">
        <f t="shared" si="2"/>
        <v>1044</v>
      </c>
      <c r="G17" s="864">
        <v>904</v>
      </c>
      <c r="H17" s="864">
        <v>128</v>
      </c>
      <c r="I17" s="864">
        <f t="shared" si="3"/>
        <v>1032</v>
      </c>
      <c r="J17" s="864">
        <v>12</v>
      </c>
      <c r="K17" s="864"/>
      <c r="L17" s="871">
        <f t="shared" si="4"/>
        <v>12</v>
      </c>
      <c r="M17" s="864"/>
      <c r="N17" s="864"/>
      <c r="O17" s="864">
        <f t="shared" si="0"/>
        <v>0</v>
      </c>
      <c r="P17" s="864"/>
      <c r="Q17" s="864"/>
      <c r="R17" s="864">
        <f t="shared" si="1"/>
        <v>0</v>
      </c>
    </row>
    <row r="18" spans="1:18" ht="15" customHeight="1" x14ac:dyDescent="0.25">
      <c r="A18" s="573" t="s">
        <v>25</v>
      </c>
      <c r="B18" s="1414" t="s">
        <v>26</v>
      </c>
      <c r="C18" s="1414"/>
      <c r="D18" s="864">
        <f t="shared" si="2"/>
        <v>0</v>
      </c>
      <c r="E18" s="864">
        <f t="shared" si="2"/>
        <v>0</v>
      </c>
      <c r="F18" s="864">
        <f t="shared" si="2"/>
        <v>0</v>
      </c>
      <c r="G18" s="864"/>
      <c r="H18" s="864"/>
      <c r="I18" s="864">
        <f t="shared" si="3"/>
        <v>0</v>
      </c>
      <c r="J18" s="864"/>
      <c r="K18" s="864"/>
      <c r="L18" s="871">
        <f t="shared" si="4"/>
        <v>0</v>
      </c>
      <c r="M18" s="864"/>
      <c r="N18" s="864"/>
      <c r="O18" s="864">
        <f t="shared" si="0"/>
        <v>0</v>
      </c>
      <c r="P18" s="864"/>
      <c r="Q18" s="864"/>
      <c r="R18" s="864">
        <f t="shared" si="1"/>
        <v>0</v>
      </c>
    </row>
    <row r="19" spans="1:18" s="575" customFormat="1" ht="15" customHeight="1" x14ac:dyDescent="0.25">
      <c r="A19" s="574" t="s">
        <v>27</v>
      </c>
      <c r="B19" s="1413" t="s">
        <v>416</v>
      </c>
      <c r="C19" s="1413"/>
      <c r="D19" s="866">
        <f>SUM(D5:D18)</f>
        <v>141430</v>
      </c>
      <c r="E19" s="866">
        <f t="shared" ref="E19:R19" si="12">SUM(E5:E18)</f>
        <v>283</v>
      </c>
      <c r="F19" s="866">
        <f t="shared" si="12"/>
        <v>141713</v>
      </c>
      <c r="G19" s="866">
        <f t="shared" si="12"/>
        <v>140392</v>
      </c>
      <c r="H19" s="866">
        <f t="shared" ref="H19" si="13">SUM(H5:H18)</f>
        <v>283</v>
      </c>
      <c r="I19" s="866">
        <f t="shared" si="12"/>
        <v>140675</v>
      </c>
      <c r="J19" s="866">
        <f t="shared" si="12"/>
        <v>1038</v>
      </c>
      <c r="K19" s="866">
        <f>SUM(K5:K18)</f>
        <v>0</v>
      </c>
      <c r="L19" s="870">
        <f>SUM(L5:L18)</f>
        <v>1038</v>
      </c>
      <c r="M19" s="866">
        <f t="shared" si="12"/>
        <v>0</v>
      </c>
      <c r="N19" s="866">
        <f t="shared" si="12"/>
        <v>0</v>
      </c>
      <c r="O19" s="866">
        <f t="shared" si="12"/>
        <v>0</v>
      </c>
      <c r="P19" s="866">
        <f t="shared" si="12"/>
        <v>0</v>
      </c>
      <c r="Q19" s="866">
        <f t="shared" si="12"/>
        <v>0</v>
      </c>
      <c r="R19" s="866">
        <f t="shared" si="12"/>
        <v>0</v>
      </c>
    </row>
    <row r="20" spans="1:18" ht="15" customHeight="1" x14ac:dyDescent="0.25">
      <c r="A20" s="573" t="s">
        <v>29</v>
      </c>
      <c r="B20" s="1414" t="s">
        <v>28</v>
      </c>
      <c r="C20" s="1414"/>
      <c r="D20" s="864">
        <f>+G20+J20+M20+P20</f>
        <v>0</v>
      </c>
      <c r="E20" s="864">
        <f t="shared" ref="E20:F21" si="14">+H20+K20+N20+Q20</f>
        <v>0</v>
      </c>
      <c r="F20" s="864">
        <f t="shared" si="14"/>
        <v>0</v>
      </c>
      <c r="G20" s="864"/>
      <c r="H20" s="864"/>
      <c r="I20" s="864">
        <f t="shared" si="3"/>
        <v>0</v>
      </c>
      <c r="J20" s="864"/>
      <c r="K20" s="864"/>
      <c r="L20" s="871">
        <f t="shared" ref="L20:L22" si="15">+J20+K20</f>
        <v>0</v>
      </c>
      <c r="M20" s="864"/>
      <c r="N20" s="864"/>
      <c r="O20" s="864"/>
      <c r="P20" s="864"/>
      <c r="Q20" s="864"/>
      <c r="R20" s="864"/>
    </row>
    <row r="21" spans="1:18" ht="38.25" customHeight="1" x14ac:dyDescent="0.25">
      <c r="A21" s="573" t="s">
        <v>629</v>
      </c>
      <c r="B21" s="1414" t="s">
        <v>30</v>
      </c>
      <c r="C21" s="1414"/>
      <c r="D21" s="864">
        <f t="shared" ref="D21:D22" si="16">+G21+J21+M21+P21</f>
        <v>1617</v>
      </c>
      <c r="E21" s="864">
        <f t="shared" si="14"/>
        <v>86</v>
      </c>
      <c r="F21" s="865">
        <f t="shared" si="14"/>
        <v>1703</v>
      </c>
      <c r="G21" s="864">
        <v>300</v>
      </c>
      <c r="H21" s="864">
        <v>86</v>
      </c>
      <c r="I21" s="864">
        <f t="shared" si="3"/>
        <v>386</v>
      </c>
      <c r="J21" s="864"/>
      <c r="K21" s="864"/>
      <c r="L21" s="871">
        <f t="shared" si="15"/>
        <v>0</v>
      </c>
      <c r="M21" s="864">
        <v>1317</v>
      </c>
      <c r="N21" s="864"/>
      <c r="O21" s="864">
        <f t="shared" ref="O21:O22" si="17">+M21+N21</f>
        <v>1317</v>
      </c>
      <c r="P21" s="864"/>
      <c r="Q21" s="864"/>
      <c r="R21" s="864">
        <f t="shared" ref="R21:R22" si="18">+P21+Q21</f>
        <v>0</v>
      </c>
    </row>
    <row r="22" spans="1:18" ht="15" customHeight="1" x14ac:dyDescent="0.25">
      <c r="A22" s="573" t="s">
        <v>32</v>
      </c>
      <c r="B22" s="1414" t="s">
        <v>31</v>
      </c>
      <c r="C22" s="1414"/>
      <c r="D22" s="864">
        <f t="shared" si="16"/>
        <v>30</v>
      </c>
      <c r="E22" s="864"/>
      <c r="F22" s="864">
        <f>+D22+E22</f>
        <v>30</v>
      </c>
      <c r="G22" s="864">
        <v>30</v>
      </c>
      <c r="H22" s="864"/>
      <c r="I22" s="864">
        <f t="shared" si="3"/>
        <v>30</v>
      </c>
      <c r="J22" s="864"/>
      <c r="K22" s="864"/>
      <c r="L22" s="871">
        <f t="shared" si="15"/>
        <v>0</v>
      </c>
      <c r="M22" s="864"/>
      <c r="N22" s="864"/>
      <c r="O22" s="864">
        <f t="shared" si="17"/>
        <v>0</v>
      </c>
      <c r="P22" s="864"/>
      <c r="Q22" s="864"/>
      <c r="R22" s="864">
        <f t="shared" si="18"/>
        <v>0</v>
      </c>
    </row>
    <row r="23" spans="1:18" s="575" customFormat="1" ht="15" customHeight="1" x14ac:dyDescent="0.25">
      <c r="A23" s="574" t="s">
        <v>33</v>
      </c>
      <c r="B23" s="1413" t="s">
        <v>417</v>
      </c>
      <c r="C23" s="1413"/>
      <c r="D23" s="866">
        <f>SUM(D20:D22)</f>
        <v>1647</v>
      </c>
      <c r="E23" s="866">
        <f t="shared" ref="E23:R23" si="19">SUM(E20:E22)</f>
        <v>86</v>
      </c>
      <c r="F23" s="866">
        <f t="shared" si="19"/>
        <v>1733</v>
      </c>
      <c r="G23" s="866">
        <f t="shared" si="19"/>
        <v>330</v>
      </c>
      <c r="H23" s="866">
        <f t="shared" si="19"/>
        <v>86</v>
      </c>
      <c r="I23" s="866">
        <f t="shared" si="19"/>
        <v>416</v>
      </c>
      <c r="J23" s="866">
        <f t="shared" si="19"/>
        <v>0</v>
      </c>
      <c r="K23" s="866">
        <f t="shared" si="19"/>
        <v>0</v>
      </c>
      <c r="L23" s="870">
        <f t="shared" si="19"/>
        <v>0</v>
      </c>
      <c r="M23" s="866">
        <f t="shared" si="19"/>
        <v>1317</v>
      </c>
      <c r="N23" s="866">
        <f t="shared" si="19"/>
        <v>0</v>
      </c>
      <c r="O23" s="866">
        <f t="shared" si="19"/>
        <v>1317</v>
      </c>
      <c r="P23" s="866">
        <f t="shared" si="19"/>
        <v>0</v>
      </c>
      <c r="Q23" s="866">
        <f t="shared" si="19"/>
        <v>0</v>
      </c>
      <c r="R23" s="866">
        <f t="shared" si="19"/>
        <v>0</v>
      </c>
    </row>
    <row r="24" spans="1:18" s="576" customFormat="1" ht="15" customHeight="1" x14ac:dyDescent="0.25">
      <c r="A24" s="574" t="s">
        <v>34</v>
      </c>
      <c r="B24" s="1413" t="s">
        <v>418</v>
      </c>
      <c r="C24" s="1413"/>
      <c r="D24" s="866">
        <f>+D23+D19</f>
        <v>143077</v>
      </c>
      <c r="E24" s="866">
        <f t="shared" ref="E24:R24" si="20">+E23+E19</f>
        <v>369</v>
      </c>
      <c r="F24" s="866">
        <f t="shared" si="20"/>
        <v>143446</v>
      </c>
      <c r="G24" s="866">
        <f t="shared" si="20"/>
        <v>140722</v>
      </c>
      <c r="H24" s="866">
        <f t="shared" si="20"/>
        <v>369</v>
      </c>
      <c r="I24" s="866">
        <f t="shared" si="20"/>
        <v>141091</v>
      </c>
      <c r="J24" s="866">
        <f t="shared" si="20"/>
        <v>1038</v>
      </c>
      <c r="K24" s="866">
        <f t="shared" si="20"/>
        <v>0</v>
      </c>
      <c r="L24" s="870">
        <f t="shared" si="20"/>
        <v>1038</v>
      </c>
      <c r="M24" s="866">
        <f t="shared" si="20"/>
        <v>1317</v>
      </c>
      <c r="N24" s="866">
        <f>+N23+N19</f>
        <v>0</v>
      </c>
      <c r="O24" s="866">
        <f t="shared" si="20"/>
        <v>1317</v>
      </c>
      <c r="P24" s="866">
        <f t="shared" si="20"/>
        <v>0</v>
      </c>
      <c r="Q24" s="866">
        <f t="shared" si="20"/>
        <v>0</v>
      </c>
      <c r="R24" s="866">
        <f t="shared" si="20"/>
        <v>0</v>
      </c>
    </row>
    <row r="25" spans="1:18" x14ac:dyDescent="0.25">
      <c r="A25" s="577"/>
      <c r="B25" s="853"/>
      <c r="C25" s="853"/>
      <c r="D25" s="867"/>
      <c r="E25" s="867"/>
      <c r="F25" s="868"/>
      <c r="G25" s="869"/>
      <c r="H25" s="867"/>
      <c r="I25" s="868"/>
      <c r="J25" s="869"/>
      <c r="K25" s="867"/>
      <c r="L25" s="934"/>
      <c r="M25" s="869"/>
      <c r="N25" s="867"/>
      <c r="O25" s="868"/>
      <c r="P25" s="869"/>
      <c r="Q25" s="867"/>
      <c r="R25" s="867"/>
    </row>
    <row r="26" spans="1:18" s="576" customFormat="1" ht="27" customHeight="1" x14ac:dyDescent="0.25">
      <c r="A26" s="574" t="s">
        <v>35</v>
      </c>
      <c r="B26" s="1413" t="s">
        <v>419</v>
      </c>
      <c r="C26" s="1413"/>
      <c r="D26" s="870">
        <f>SUM(D27:D31)</f>
        <v>24342</v>
      </c>
      <c r="E26" s="866">
        <f t="shared" ref="E26:F31" si="21">+H26+K26+N26+Q26</f>
        <v>57</v>
      </c>
      <c r="F26" s="935">
        <f t="shared" si="21"/>
        <v>24399</v>
      </c>
      <c r="G26" s="866">
        <f t="shared" ref="G26:R26" si="22">SUM(G27:G31)</f>
        <v>23939</v>
      </c>
      <c r="H26" s="866">
        <f t="shared" si="22"/>
        <v>57</v>
      </c>
      <c r="I26" s="866">
        <f t="shared" si="22"/>
        <v>23996</v>
      </c>
      <c r="J26" s="866">
        <f t="shared" si="22"/>
        <v>171</v>
      </c>
      <c r="K26" s="866">
        <f t="shared" si="22"/>
        <v>0</v>
      </c>
      <c r="L26" s="870">
        <f t="shared" si="22"/>
        <v>171</v>
      </c>
      <c r="M26" s="870">
        <f t="shared" si="22"/>
        <v>232</v>
      </c>
      <c r="N26" s="866">
        <f t="shared" si="22"/>
        <v>0</v>
      </c>
      <c r="O26" s="866">
        <f t="shared" si="22"/>
        <v>232</v>
      </c>
      <c r="P26" s="866">
        <f t="shared" si="22"/>
        <v>0</v>
      </c>
      <c r="Q26" s="866">
        <f t="shared" si="22"/>
        <v>0</v>
      </c>
      <c r="R26" s="866">
        <f t="shared" si="22"/>
        <v>0</v>
      </c>
    </row>
    <row r="27" spans="1:18" ht="25.5" x14ac:dyDescent="0.25">
      <c r="A27" s="578" t="s">
        <v>35</v>
      </c>
      <c r="B27" s="579"/>
      <c r="C27" s="580" t="s">
        <v>36</v>
      </c>
      <c r="D27" s="871">
        <f>+G27+J27+M27+P27</f>
        <v>21118</v>
      </c>
      <c r="E27" s="864">
        <f t="shared" si="21"/>
        <v>57</v>
      </c>
      <c r="F27" s="864">
        <f t="shared" si="21"/>
        <v>21175</v>
      </c>
      <c r="G27" s="864">
        <v>20726</v>
      </c>
      <c r="H27" s="864">
        <f>29+28</f>
        <v>57</v>
      </c>
      <c r="I27" s="864">
        <f t="shared" ref="I27:I31" si="23">+G27+H27</f>
        <v>20783</v>
      </c>
      <c r="J27" s="864">
        <v>160</v>
      </c>
      <c r="K27" s="864"/>
      <c r="L27" s="871">
        <f t="shared" ref="L27:L31" si="24">+J27+K27</f>
        <v>160</v>
      </c>
      <c r="M27" s="871">
        <v>232</v>
      </c>
      <c r="N27" s="864"/>
      <c r="O27" s="864">
        <f t="shared" ref="O27:O31" si="25">+M27+N27</f>
        <v>232</v>
      </c>
      <c r="P27" s="864"/>
      <c r="Q27" s="864"/>
      <c r="R27" s="864">
        <f t="shared" ref="R27:R31" si="26">+P27+Q27</f>
        <v>0</v>
      </c>
    </row>
    <row r="28" spans="1:18" ht="25.5" x14ac:dyDescent="0.25">
      <c r="A28" s="578" t="s">
        <v>35</v>
      </c>
      <c r="B28" s="579"/>
      <c r="C28" s="580" t="s">
        <v>37</v>
      </c>
      <c r="D28" s="864">
        <f t="shared" ref="D28:D31" si="27">+G28+J28+M28+P28</f>
        <v>2897</v>
      </c>
      <c r="E28" s="864">
        <f t="shared" si="21"/>
        <v>0</v>
      </c>
      <c r="F28" s="864">
        <f t="shared" si="21"/>
        <v>2897</v>
      </c>
      <c r="G28" s="864">
        <v>2897</v>
      </c>
      <c r="H28" s="864"/>
      <c r="I28" s="864">
        <f t="shared" si="23"/>
        <v>2897</v>
      </c>
      <c r="J28" s="864"/>
      <c r="K28" s="864"/>
      <c r="L28" s="871">
        <f t="shared" si="24"/>
        <v>0</v>
      </c>
      <c r="M28" s="864"/>
      <c r="N28" s="864"/>
      <c r="O28" s="864">
        <f t="shared" si="25"/>
        <v>0</v>
      </c>
      <c r="P28" s="864"/>
      <c r="Q28" s="864"/>
      <c r="R28" s="864">
        <f t="shared" si="26"/>
        <v>0</v>
      </c>
    </row>
    <row r="29" spans="1:18" ht="25.5" x14ac:dyDescent="0.25">
      <c r="A29" s="578" t="s">
        <v>35</v>
      </c>
      <c r="B29" s="579"/>
      <c r="C29" s="580" t="s">
        <v>38</v>
      </c>
      <c r="D29" s="864">
        <f t="shared" si="27"/>
        <v>0</v>
      </c>
      <c r="E29" s="864">
        <f t="shared" si="21"/>
        <v>0</v>
      </c>
      <c r="F29" s="864">
        <f t="shared" si="21"/>
        <v>0</v>
      </c>
      <c r="G29" s="864"/>
      <c r="H29" s="864"/>
      <c r="I29" s="864">
        <f t="shared" si="23"/>
        <v>0</v>
      </c>
      <c r="J29" s="864"/>
      <c r="K29" s="864"/>
      <c r="L29" s="871">
        <f t="shared" si="24"/>
        <v>0</v>
      </c>
      <c r="M29" s="864"/>
      <c r="N29" s="864"/>
      <c r="O29" s="864">
        <f t="shared" si="25"/>
        <v>0</v>
      </c>
      <c r="P29" s="864"/>
      <c r="Q29" s="864"/>
      <c r="R29" s="864">
        <f t="shared" si="26"/>
        <v>0</v>
      </c>
    </row>
    <row r="30" spans="1:18" ht="62.25" customHeight="1" x14ac:dyDescent="0.25">
      <c r="A30" s="578" t="s">
        <v>35</v>
      </c>
      <c r="B30" s="579"/>
      <c r="C30" s="580" t="s">
        <v>39</v>
      </c>
      <c r="D30" s="864">
        <f t="shared" si="27"/>
        <v>0</v>
      </c>
      <c r="E30" s="864">
        <f t="shared" si="21"/>
        <v>0</v>
      </c>
      <c r="F30" s="864">
        <f t="shared" si="21"/>
        <v>0</v>
      </c>
      <c r="G30" s="864"/>
      <c r="H30" s="864"/>
      <c r="I30" s="864">
        <f t="shared" si="23"/>
        <v>0</v>
      </c>
      <c r="J30" s="864"/>
      <c r="K30" s="864"/>
      <c r="L30" s="871">
        <f t="shared" si="24"/>
        <v>0</v>
      </c>
      <c r="M30" s="864"/>
      <c r="N30" s="864"/>
      <c r="O30" s="864">
        <f t="shared" si="25"/>
        <v>0</v>
      </c>
      <c r="P30" s="864"/>
      <c r="Q30" s="864"/>
      <c r="R30" s="864">
        <f t="shared" si="26"/>
        <v>0</v>
      </c>
    </row>
    <row r="31" spans="1:18" ht="25.5" customHeight="1" x14ac:dyDescent="0.25">
      <c r="A31" s="578" t="s">
        <v>35</v>
      </c>
      <c r="B31" s="579"/>
      <c r="C31" s="580" t="s">
        <v>40</v>
      </c>
      <c r="D31" s="864">
        <f t="shared" si="27"/>
        <v>327</v>
      </c>
      <c r="E31" s="864">
        <f t="shared" si="21"/>
        <v>0</v>
      </c>
      <c r="F31" s="864">
        <f t="shared" si="21"/>
        <v>327</v>
      </c>
      <c r="G31" s="864">
        <v>316</v>
      </c>
      <c r="H31" s="864"/>
      <c r="I31" s="864">
        <f t="shared" si="23"/>
        <v>316</v>
      </c>
      <c r="J31" s="864">
        <v>11</v>
      </c>
      <c r="K31" s="864"/>
      <c r="L31" s="871">
        <f t="shared" si="24"/>
        <v>11</v>
      </c>
      <c r="M31" s="864"/>
      <c r="N31" s="864"/>
      <c r="O31" s="864">
        <f t="shared" si="25"/>
        <v>0</v>
      </c>
      <c r="P31" s="864"/>
      <c r="Q31" s="864"/>
      <c r="R31" s="864">
        <f t="shared" si="26"/>
        <v>0</v>
      </c>
    </row>
    <row r="32" spans="1:18" x14ac:dyDescent="0.25">
      <c r="A32" s="581"/>
      <c r="B32" s="582"/>
      <c r="C32" s="583"/>
      <c r="D32" s="872"/>
      <c r="E32" s="872"/>
      <c r="F32" s="872"/>
      <c r="G32" s="872"/>
      <c r="H32" s="872"/>
      <c r="I32" s="872"/>
      <c r="J32" s="872"/>
      <c r="K32" s="872"/>
      <c r="L32" s="936"/>
      <c r="M32" s="872"/>
      <c r="N32" s="872"/>
      <c r="O32" s="872"/>
      <c r="P32" s="872"/>
      <c r="Q32" s="872"/>
      <c r="R32" s="872"/>
    </row>
    <row r="33" spans="1:18" ht="15" customHeight="1" x14ac:dyDescent="0.25">
      <c r="A33" s="573" t="s">
        <v>42</v>
      </c>
      <c r="B33" s="1414" t="s">
        <v>41</v>
      </c>
      <c r="C33" s="1414"/>
      <c r="D33" s="864">
        <f>+G33+J33+M33+P33</f>
        <v>840</v>
      </c>
      <c r="E33" s="864">
        <f>+H33+K33+N33+Q33</f>
        <v>0</v>
      </c>
      <c r="F33" s="864">
        <f>+I33+L33+O33+R33</f>
        <v>840</v>
      </c>
      <c r="G33" s="864">
        <v>840</v>
      </c>
      <c r="H33" s="864"/>
      <c r="I33" s="864">
        <f t="shared" ref="I33:I35" si="28">+G33+H33</f>
        <v>840</v>
      </c>
      <c r="J33" s="864"/>
      <c r="K33" s="864"/>
      <c r="L33" s="871">
        <f t="shared" ref="L33:L35" si="29">+J33+K33</f>
        <v>0</v>
      </c>
      <c r="M33" s="864"/>
      <c r="N33" s="864"/>
      <c r="O33" s="864">
        <f t="shared" ref="O33:O35" si="30">+M33+N33</f>
        <v>0</v>
      </c>
      <c r="P33" s="864"/>
      <c r="Q33" s="864"/>
      <c r="R33" s="864">
        <f t="shared" ref="R33:R35" si="31">+P33+Q33</f>
        <v>0</v>
      </c>
    </row>
    <row r="34" spans="1:18" ht="15" customHeight="1" x14ac:dyDescent="0.25">
      <c r="A34" s="573" t="s">
        <v>44</v>
      </c>
      <c r="B34" s="1414" t="s">
        <v>43</v>
      </c>
      <c r="C34" s="1414"/>
      <c r="D34" s="864">
        <f t="shared" ref="D34:F35" si="32">+G34+J34+M34+P34</f>
        <v>1974</v>
      </c>
      <c r="E34" s="864">
        <f t="shared" si="32"/>
        <v>0</v>
      </c>
      <c r="F34" s="865">
        <f t="shared" si="32"/>
        <v>1974</v>
      </c>
      <c r="G34" s="864">
        <v>1811</v>
      </c>
      <c r="H34" s="864">
        <v>-67</v>
      </c>
      <c r="I34" s="864">
        <f t="shared" si="28"/>
        <v>1744</v>
      </c>
      <c r="J34" s="864">
        <v>163</v>
      </c>
      <c r="K34" s="864">
        <v>67</v>
      </c>
      <c r="L34" s="871">
        <f t="shared" si="29"/>
        <v>230</v>
      </c>
      <c r="M34" s="864"/>
      <c r="N34" s="864"/>
      <c r="O34" s="864">
        <f t="shared" si="30"/>
        <v>0</v>
      </c>
      <c r="P34" s="864"/>
      <c r="Q34" s="864"/>
      <c r="R34" s="864">
        <f t="shared" si="31"/>
        <v>0</v>
      </c>
    </row>
    <row r="35" spans="1:18" ht="15" customHeight="1" x14ac:dyDescent="0.25">
      <c r="A35" s="573" t="s">
        <v>46</v>
      </c>
      <c r="B35" s="1414" t="s">
        <v>45</v>
      </c>
      <c r="C35" s="1414"/>
      <c r="D35" s="864">
        <f t="shared" si="32"/>
        <v>0</v>
      </c>
      <c r="E35" s="864">
        <f t="shared" si="32"/>
        <v>0</v>
      </c>
      <c r="F35" s="864">
        <f t="shared" si="32"/>
        <v>0</v>
      </c>
      <c r="G35" s="864"/>
      <c r="H35" s="864"/>
      <c r="I35" s="864">
        <f t="shared" si="28"/>
        <v>0</v>
      </c>
      <c r="J35" s="864"/>
      <c r="K35" s="864"/>
      <c r="L35" s="871">
        <f t="shared" si="29"/>
        <v>0</v>
      </c>
      <c r="M35" s="864"/>
      <c r="N35" s="864"/>
      <c r="O35" s="864">
        <f t="shared" si="30"/>
        <v>0</v>
      </c>
      <c r="P35" s="864"/>
      <c r="Q35" s="864"/>
      <c r="R35" s="864">
        <f t="shared" si="31"/>
        <v>0</v>
      </c>
    </row>
    <row r="36" spans="1:18" s="576" customFormat="1" ht="15" customHeight="1" x14ac:dyDescent="0.25">
      <c r="A36" s="574" t="s">
        <v>47</v>
      </c>
      <c r="B36" s="1413" t="s">
        <v>421</v>
      </c>
      <c r="C36" s="1413"/>
      <c r="D36" s="866">
        <f>SUM(D33:D35)</f>
        <v>2814</v>
      </c>
      <c r="E36" s="866">
        <f t="shared" ref="E36:R36" si="33">SUM(E33:E35)</f>
        <v>0</v>
      </c>
      <c r="F36" s="866">
        <f t="shared" si="33"/>
        <v>2814</v>
      </c>
      <c r="G36" s="866">
        <f t="shared" si="33"/>
        <v>2651</v>
      </c>
      <c r="H36" s="866">
        <f t="shared" si="33"/>
        <v>-67</v>
      </c>
      <c r="I36" s="866">
        <f t="shared" si="33"/>
        <v>2584</v>
      </c>
      <c r="J36" s="866">
        <f>SUM(J33:J35)</f>
        <v>163</v>
      </c>
      <c r="K36" s="866">
        <f t="shared" ref="K36" si="34">SUM(K33:K35)</f>
        <v>67</v>
      </c>
      <c r="L36" s="870">
        <f t="shared" si="33"/>
        <v>230</v>
      </c>
      <c r="M36" s="866">
        <f t="shared" si="33"/>
        <v>0</v>
      </c>
      <c r="N36" s="866">
        <f t="shared" si="33"/>
        <v>0</v>
      </c>
      <c r="O36" s="866">
        <f t="shared" si="33"/>
        <v>0</v>
      </c>
      <c r="P36" s="866">
        <f t="shared" si="33"/>
        <v>0</v>
      </c>
      <c r="Q36" s="866">
        <f t="shared" si="33"/>
        <v>0</v>
      </c>
      <c r="R36" s="866">
        <f t="shared" si="33"/>
        <v>0</v>
      </c>
    </row>
    <row r="37" spans="1:18" ht="15" customHeight="1" x14ac:dyDescent="0.25">
      <c r="A37" s="573" t="s">
        <v>49</v>
      </c>
      <c r="B37" s="1414" t="s">
        <v>48</v>
      </c>
      <c r="C37" s="1414"/>
      <c r="D37" s="864">
        <f>+G37+J37+M37+P37</f>
        <v>60</v>
      </c>
      <c r="E37" s="864">
        <f t="shared" ref="E37:F38" si="35">+H37+K37+N37+Q37</f>
        <v>0</v>
      </c>
      <c r="F37" s="864">
        <f t="shared" si="35"/>
        <v>60</v>
      </c>
      <c r="G37" s="864"/>
      <c r="H37" s="864"/>
      <c r="I37" s="864">
        <f t="shared" ref="I37:I38" si="36">+G37+H37</f>
        <v>0</v>
      </c>
      <c r="J37" s="864">
        <v>60</v>
      </c>
      <c r="K37" s="864"/>
      <c r="L37" s="871">
        <f t="shared" ref="L37:L38" si="37">+J37+K37</f>
        <v>60</v>
      </c>
      <c r="M37" s="864"/>
      <c r="N37" s="864"/>
      <c r="O37" s="864">
        <f t="shared" ref="O37:O38" si="38">+M37+N37</f>
        <v>0</v>
      </c>
      <c r="P37" s="864"/>
      <c r="Q37" s="864"/>
      <c r="R37" s="864">
        <f t="shared" ref="R37:R38" si="39">+P37+Q37</f>
        <v>0</v>
      </c>
    </row>
    <row r="38" spans="1:18" ht="15" customHeight="1" x14ac:dyDescent="0.25">
      <c r="A38" s="573" t="s">
        <v>51</v>
      </c>
      <c r="B38" s="1414" t="s">
        <v>50</v>
      </c>
      <c r="C38" s="1414"/>
      <c r="D38" s="864">
        <f>+G38+J38+M38+P38</f>
        <v>70</v>
      </c>
      <c r="E38" s="864">
        <f t="shared" si="35"/>
        <v>0</v>
      </c>
      <c r="F38" s="864">
        <f t="shared" si="35"/>
        <v>70</v>
      </c>
      <c r="G38" s="864"/>
      <c r="H38" s="864"/>
      <c r="I38" s="864">
        <f t="shared" si="36"/>
        <v>0</v>
      </c>
      <c r="J38" s="864">
        <v>70</v>
      </c>
      <c r="K38" s="864"/>
      <c r="L38" s="871">
        <f t="shared" si="37"/>
        <v>70</v>
      </c>
      <c r="M38" s="864"/>
      <c r="N38" s="864"/>
      <c r="O38" s="864">
        <f t="shared" si="38"/>
        <v>0</v>
      </c>
      <c r="P38" s="864"/>
      <c r="Q38" s="864"/>
      <c r="R38" s="864">
        <f t="shared" si="39"/>
        <v>0</v>
      </c>
    </row>
    <row r="39" spans="1:18" s="576" customFormat="1" ht="15" customHeight="1" x14ac:dyDescent="0.25">
      <c r="A39" s="574" t="s">
        <v>52</v>
      </c>
      <c r="B39" s="1413" t="s">
        <v>422</v>
      </c>
      <c r="C39" s="1413"/>
      <c r="D39" s="866">
        <f>SUM(D37:D38)</f>
        <v>130</v>
      </c>
      <c r="E39" s="866">
        <f t="shared" ref="E39:F39" si="40">SUM(E37:E38)</f>
        <v>0</v>
      </c>
      <c r="F39" s="866">
        <f t="shared" si="40"/>
        <v>130</v>
      </c>
      <c r="G39" s="866">
        <f t="shared" ref="G39:R39" si="41">+G38+G37</f>
        <v>0</v>
      </c>
      <c r="H39" s="866">
        <f t="shared" si="41"/>
        <v>0</v>
      </c>
      <c r="I39" s="866">
        <f t="shared" si="41"/>
        <v>0</v>
      </c>
      <c r="J39" s="866">
        <f t="shared" si="41"/>
        <v>130</v>
      </c>
      <c r="K39" s="866">
        <f t="shared" si="41"/>
        <v>0</v>
      </c>
      <c r="L39" s="870">
        <f t="shared" si="41"/>
        <v>130</v>
      </c>
      <c r="M39" s="866">
        <f t="shared" si="41"/>
        <v>0</v>
      </c>
      <c r="N39" s="866">
        <f t="shared" si="41"/>
        <v>0</v>
      </c>
      <c r="O39" s="866">
        <f t="shared" si="41"/>
        <v>0</v>
      </c>
      <c r="P39" s="866">
        <f t="shared" si="41"/>
        <v>0</v>
      </c>
      <c r="Q39" s="866">
        <f t="shared" si="41"/>
        <v>0</v>
      </c>
      <c r="R39" s="866">
        <f t="shared" si="41"/>
        <v>0</v>
      </c>
    </row>
    <row r="40" spans="1:18" ht="15" customHeight="1" x14ac:dyDescent="0.25">
      <c r="A40" s="573" t="s">
        <v>54</v>
      </c>
      <c r="B40" s="1414" t="s">
        <v>53</v>
      </c>
      <c r="C40" s="1414"/>
      <c r="D40" s="864">
        <f>+G40+J40+M40+P40</f>
        <v>0</v>
      </c>
      <c r="E40" s="864">
        <f>+H40+K40+N40+Q40</f>
        <v>0</v>
      </c>
      <c r="F40" s="864">
        <f>+I40+L40+O40+R40</f>
        <v>0</v>
      </c>
      <c r="G40" s="864"/>
      <c r="H40" s="864"/>
      <c r="I40" s="864">
        <f t="shared" ref="I40:I48" si="42">+G40+H40</f>
        <v>0</v>
      </c>
      <c r="J40" s="864"/>
      <c r="K40" s="864"/>
      <c r="L40" s="871">
        <f t="shared" ref="L40:L48" si="43">+J40+K40</f>
        <v>0</v>
      </c>
      <c r="M40" s="864"/>
      <c r="N40" s="864"/>
      <c r="O40" s="864">
        <f t="shared" ref="O40:O48" si="44">+M40+N40</f>
        <v>0</v>
      </c>
      <c r="P40" s="864"/>
      <c r="Q40" s="864"/>
      <c r="R40" s="864">
        <f t="shared" ref="R40:R48" si="45">+P40+Q40</f>
        <v>0</v>
      </c>
    </row>
    <row r="41" spans="1:18" ht="15" customHeight="1" x14ac:dyDescent="0.25">
      <c r="A41" s="573" t="s">
        <v>56</v>
      </c>
      <c r="B41" s="1414" t="s">
        <v>55</v>
      </c>
      <c r="C41" s="1414"/>
      <c r="D41" s="864">
        <f>+G41+J41+M41+P41</f>
        <v>29541</v>
      </c>
      <c r="E41" s="864">
        <f t="shared" ref="E41:F44" si="46">+H41+K41+N41+Q41</f>
        <v>0</v>
      </c>
      <c r="F41" s="864">
        <f t="shared" si="46"/>
        <v>29541</v>
      </c>
      <c r="G41" s="864"/>
      <c r="H41" s="864"/>
      <c r="I41" s="864">
        <f t="shared" si="42"/>
        <v>0</v>
      </c>
      <c r="J41" s="873"/>
      <c r="K41" s="864"/>
      <c r="L41" s="871">
        <f t="shared" si="43"/>
        <v>0</v>
      </c>
      <c r="M41" s="864"/>
      <c r="N41" s="864"/>
      <c r="O41" s="864">
        <f t="shared" si="44"/>
        <v>0</v>
      </c>
      <c r="P41" s="873">
        <v>29541</v>
      </c>
      <c r="Q41" s="864"/>
      <c r="R41" s="864">
        <f t="shared" si="45"/>
        <v>29541</v>
      </c>
    </row>
    <row r="42" spans="1:18" ht="15" customHeight="1" x14ac:dyDescent="0.25">
      <c r="A42" s="573" t="s">
        <v>57</v>
      </c>
      <c r="B42" s="1414" t="s">
        <v>423</v>
      </c>
      <c r="C42" s="1414"/>
      <c r="D42" s="864">
        <f t="shared" ref="D42:D44" si="47">+G42+J42+M42+P42</f>
        <v>0</v>
      </c>
      <c r="E42" s="864">
        <f t="shared" si="46"/>
        <v>0</v>
      </c>
      <c r="F42" s="864">
        <f t="shared" si="46"/>
        <v>0</v>
      </c>
      <c r="G42" s="864"/>
      <c r="H42" s="864"/>
      <c r="I42" s="864">
        <f t="shared" si="42"/>
        <v>0</v>
      </c>
      <c r="J42" s="864"/>
      <c r="K42" s="864"/>
      <c r="L42" s="871">
        <f t="shared" si="43"/>
        <v>0</v>
      </c>
      <c r="M42" s="864"/>
      <c r="N42" s="864"/>
      <c r="O42" s="864">
        <f t="shared" si="44"/>
        <v>0</v>
      </c>
      <c r="P42" s="864"/>
      <c r="Q42" s="864"/>
      <c r="R42" s="864">
        <f t="shared" si="45"/>
        <v>0</v>
      </c>
    </row>
    <row r="43" spans="1:18" ht="15" customHeight="1" x14ac:dyDescent="0.25">
      <c r="A43" s="573" t="s">
        <v>59</v>
      </c>
      <c r="B43" s="1414" t="s">
        <v>58</v>
      </c>
      <c r="C43" s="1414"/>
      <c r="D43" s="864">
        <f t="shared" si="47"/>
        <v>120</v>
      </c>
      <c r="E43" s="864">
        <f t="shared" si="46"/>
        <v>14</v>
      </c>
      <c r="F43" s="864">
        <f t="shared" si="46"/>
        <v>134</v>
      </c>
      <c r="G43" s="864"/>
      <c r="H43" s="864">
        <v>14</v>
      </c>
      <c r="I43" s="864">
        <f t="shared" si="42"/>
        <v>14</v>
      </c>
      <c r="J43" s="864">
        <v>120</v>
      </c>
      <c r="K43" s="864"/>
      <c r="L43" s="871">
        <f t="shared" si="43"/>
        <v>120</v>
      </c>
      <c r="M43" s="864"/>
      <c r="N43" s="864"/>
      <c r="O43" s="864">
        <f t="shared" si="44"/>
        <v>0</v>
      </c>
      <c r="P43" s="864"/>
      <c r="Q43" s="864"/>
      <c r="R43" s="864">
        <f t="shared" si="45"/>
        <v>0</v>
      </c>
    </row>
    <row r="44" spans="1:18" ht="15" customHeight="1" x14ac:dyDescent="0.25">
      <c r="A44" s="573" t="s">
        <v>60</v>
      </c>
      <c r="B44" s="1414" t="s">
        <v>166</v>
      </c>
      <c r="C44" s="1414"/>
      <c r="D44" s="864">
        <f t="shared" si="47"/>
        <v>0</v>
      </c>
      <c r="E44" s="864">
        <f t="shared" si="46"/>
        <v>0</v>
      </c>
      <c r="F44" s="864">
        <f t="shared" si="46"/>
        <v>0</v>
      </c>
      <c r="G44" s="864"/>
      <c r="H44" s="864"/>
      <c r="I44" s="864">
        <f t="shared" si="42"/>
        <v>0</v>
      </c>
      <c r="J44" s="864"/>
      <c r="K44" s="864"/>
      <c r="L44" s="871">
        <f t="shared" si="43"/>
        <v>0</v>
      </c>
      <c r="M44" s="864"/>
      <c r="N44" s="864"/>
      <c r="O44" s="864">
        <f t="shared" si="44"/>
        <v>0</v>
      </c>
      <c r="P44" s="864"/>
      <c r="Q44" s="864"/>
      <c r="R44" s="864">
        <f t="shared" si="45"/>
        <v>0</v>
      </c>
    </row>
    <row r="45" spans="1:18" ht="25.5" x14ac:dyDescent="0.25">
      <c r="A45" s="578" t="s">
        <v>60</v>
      </c>
      <c r="B45" s="874"/>
      <c r="C45" s="875" t="s">
        <v>61</v>
      </c>
      <c r="D45" s="864"/>
      <c r="E45" s="864"/>
      <c r="F45" s="864"/>
      <c r="G45" s="864"/>
      <c r="H45" s="864"/>
      <c r="I45" s="864">
        <f t="shared" si="42"/>
        <v>0</v>
      </c>
      <c r="J45" s="864"/>
      <c r="K45" s="864"/>
      <c r="L45" s="871">
        <f t="shared" si="43"/>
        <v>0</v>
      </c>
      <c r="M45" s="864"/>
      <c r="N45" s="864"/>
      <c r="O45" s="864">
        <f t="shared" si="44"/>
        <v>0</v>
      </c>
      <c r="P45" s="864"/>
      <c r="Q45" s="864"/>
      <c r="R45" s="864">
        <f t="shared" si="45"/>
        <v>0</v>
      </c>
    </row>
    <row r="46" spans="1:18" ht="25.5" x14ac:dyDescent="0.25">
      <c r="A46" s="578" t="s">
        <v>60</v>
      </c>
      <c r="B46" s="874"/>
      <c r="C46" s="875" t="s">
        <v>168</v>
      </c>
      <c r="D46" s="864"/>
      <c r="E46" s="864"/>
      <c r="F46" s="864"/>
      <c r="G46" s="864"/>
      <c r="H46" s="864"/>
      <c r="I46" s="864">
        <f t="shared" si="42"/>
        <v>0</v>
      </c>
      <c r="J46" s="864"/>
      <c r="K46" s="864"/>
      <c r="L46" s="871">
        <f t="shared" si="43"/>
        <v>0</v>
      </c>
      <c r="M46" s="864"/>
      <c r="N46" s="864"/>
      <c r="O46" s="864">
        <f t="shared" si="44"/>
        <v>0</v>
      </c>
      <c r="P46" s="864"/>
      <c r="Q46" s="864"/>
      <c r="R46" s="864">
        <f t="shared" si="45"/>
        <v>0</v>
      </c>
    </row>
    <row r="47" spans="1:18" ht="28.5" customHeight="1" x14ac:dyDescent="0.25">
      <c r="A47" s="573" t="s">
        <v>63</v>
      </c>
      <c r="B47" s="1414" t="s">
        <v>424</v>
      </c>
      <c r="C47" s="1414"/>
      <c r="D47" s="864">
        <f>+G47+J47+M47+P47</f>
        <v>423</v>
      </c>
      <c r="E47" s="864">
        <f t="shared" ref="E47:F48" si="48">+H47+K47+N47+Q47</f>
        <v>0</v>
      </c>
      <c r="F47" s="864">
        <f t="shared" si="48"/>
        <v>423</v>
      </c>
      <c r="G47" s="864">
        <v>240</v>
      </c>
      <c r="H47" s="864"/>
      <c r="I47" s="864">
        <f t="shared" si="42"/>
        <v>240</v>
      </c>
      <c r="J47" s="864">
        <v>0</v>
      </c>
      <c r="K47" s="864"/>
      <c r="L47" s="871">
        <v>0</v>
      </c>
      <c r="M47" s="864">
        <v>183</v>
      </c>
      <c r="N47" s="864"/>
      <c r="O47" s="864">
        <f t="shared" si="44"/>
        <v>183</v>
      </c>
      <c r="P47" s="864"/>
      <c r="Q47" s="864"/>
      <c r="R47" s="864">
        <f t="shared" si="45"/>
        <v>0</v>
      </c>
    </row>
    <row r="48" spans="1:18" ht="15" customHeight="1" x14ac:dyDescent="0.25">
      <c r="A48" s="573" t="s">
        <v>65</v>
      </c>
      <c r="B48" s="1414" t="s">
        <v>425</v>
      </c>
      <c r="C48" s="1414"/>
      <c r="D48" s="864">
        <v>549</v>
      </c>
      <c r="E48" s="864">
        <f t="shared" si="48"/>
        <v>40</v>
      </c>
      <c r="F48" s="864">
        <f t="shared" si="48"/>
        <v>589</v>
      </c>
      <c r="G48" s="864">
        <v>59</v>
      </c>
      <c r="H48" s="864">
        <v>40</v>
      </c>
      <c r="I48" s="864">
        <f t="shared" si="42"/>
        <v>99</v>
      </c>
      <c r="J48" s="864">
        <v>490</v>
      </c>
      <c r="K48" s="864"/>
      <c r="L48" s="871">
        <f t="shared" si="43"/>
        <v>490</v>
      </c>
      <c r="M48" s="864"/>
      <c r="N48" s="864"/>
      <c r="O48" s="864">
        <f t="shared" si="44"/>
        <v>0</v>
      </c>
      <c r="P48" s="864"/>
      <c r="Q48" s="864"/>
      <c r="R48" s="864">
        <f t="shared" si="45"/>
        <v>0</v>
      </c>
    </row>
    <row r="49" spans="1:19" s="576" customFormat="1" x14ac:dyDescent="0.25">
      <c r="A49" s="574" t="s">
        <v>66</v>
      </c>
      <c r="B49" s="1413" t="s">
        <v>426</v>
      </c>
      <c r="C49" s="1413"/>
      <c r="D49" s="866">
        <f>SUM(D40:D48)</f>
        <v>30633</v>
      </c>
      <c r="E49" s="866">
        <f t="shared" ref="E49:R49" si="49">SUM(E40:E48)</f>
        <v>54</v>
      </c>
      <c r="F49" s="866">
        <f t="shared" si="49"/>
        <v>30687</v>
      </c>
      <c r="G49" s="866">
        <f t="shared" si="49"/>
        <v>299</v>
      </c>
      <c r="H49" s="866"/>
      <c r="I49" s="866">
        <f t="shared" si="49"/>
        <v>353</v>
      </c>
      <c r="J49" s="866">
        <f>SUM(J40:J48)</f>
        <v>610</v>
      </c>
      <c r="K49" s="866">
        <f t="shared" ref="K49" si="50">SUM(K40:K48)</f>
        <v>0</v>
      </c>
      <c r="L49" s="870">
        <f t="shared" si="49"/>
        <v>610</v>
      </c>
      <c r="M49" s="866">
        <f t="shared" si="49"/>
        <v>183</v>
      </c>
      <c r="N49" s="866">
        <f t="shared" si="49"/>
        <v>0</v>
      </c>
      <c r="O49" s="866">
        <f t="shared" si="49"/>
        <v>183</v>
      </c>
      <c r="P49" s="866">
        <f t="shared" si="49"/>
        <v>29541</v>
      </c>
      <c r="Q49" s="866">
        <f t="shared" si="49"/>
        <v>0</v>
      </c>
      <c r="R49" s="866">
        <f t="shared" si="49"/>
        <v>29541</v>
      </c>
    </row>
    <row r="50" spans="1:19" x14ac:dyDescent="0.25">
      <c r="A50" s="573" t="s">
        <v>68</v>
      </c>
      <c r="B50" s="1414" t="s">
        <v>67</v>
      </c>
      <c r="C50" s="1414"/>
      <c r="D50" s="864">
        <f>G50</f>
        <v>30</v>
      </c>
      <c r="E50" s="864">
        <f t="shared" ref="E50:F51" si="51">+H50+K50+N50+Q50</f>
        <v>0</v>
      </c>
      <c r="F50" s="864">
        <f t="shared" si="51"/>
        <v>30</v>
      </c>
      <c r="G50" s="864">
        <v>30</v>
      </c>
      <c r="H50" s="864"/>
      <c r="I50" s="864">
        <f t="shared" ref="I50:I51" si="52">+G50+H50</f>
        <v>30</v>
      </c>
      <c r="J50" s="864"/>
      <c r="K50" s="864"/>
      <c r="L50" s="871"/>
      <c r="M50" s="864"/>
      <c r="N50" s="864"/>
      <c r="O50" s="864">
        <f t="shared" ref="O50:O51" si="53">+M50+N50</f>
        <v>0</v>
      </c>
      <c r="P50" s="864"/>
      <c r="Q50" s="864"/>
      <c r="R50" s="864">
        <f t="shared" ref="R50:R51" si="54">+P50+Q50</f>
        <v>0</v>
      </c>
    </row>
    <row r="51" spans="1:19" x14ac:dyDescent="0.25">
      <c r="A51" s="573" t="s">
        <v>70</v>
      </c>
      <c r="B51" s="1414" t="s">
        <v>69</v>
      </c>
      <c r="C51" s="1414"/>
      <c r="D51" s="864"/>
      <c r="E51" s="864">
        <f t="shared" si="51"/>
        <v>0</v>
      </c>
      <c r="F51" s="864">
        <f t="shared" si="51"/>
        <v>0</v>
      </c>
      <c r="G51" s="864"/>
      <c r="H51" s="864"/>
      <c r="I51" s="864">
        <f t="shared" si="52"/>
        <v>0</v>
      </c>
      <c r="J51" s="864"/>
      <c r="K51" s="864"/>
      <c r="L51" s="871">
        <f t="shared" ref="L51" si="55">+J51+K51</f>
        <v>0</v>
      </c>
      <c r="M51" s="864"/>
      <c r="N51" s="864"/>
      <c r="O51" s="864">
        <f t="shared" si="53"/>
        <v>0</v>
      </c>
      <c r="P51" s="864"/>
      <c r="Q51" s="864"/>
      <c r="R51" s="864">
        <f t="shared" si="54"/>
        <v>0</v>
      </c>
    </row>
    <row r="52" spans="1:19" s="575" customFormat="1" ht="26.25" customHeight="1" x14ac:dyDescent="0.25">
      <c r="A52" s="574" t="s">
        <v>71</v>
      </c>
      <c r="B52" s="1413" t="s">
        <v>155</v>
      </c>
      <c r="C52" s="1413"/>
      <c r="D52" s="866">
        <f>SUM(D50:D51)</f>
        <v>30</v>
      </c>
      <c r="E52" s="866">
        <f t="shared" ref="E52:R52" si="56">+E51+E50</f>
        <v>0</v>
      </c>
      <c r="F52" s="866">
        <f t="shared" si="56"/>
        <v>30</v>
      </c>
      <c r="G52" s="866">
        <f t="shared" si="56"/>
        <v>30</v>
      </c>
      <c r="H52" s="866">
        <f t="shared" si="56"/>
        <v>0</v>
      </c>
      <c r="I52" s="866">
        <f t="shared" si="56"/>
        <v>30</v>
      </c>
      <c r="J52" s="866">
        <f t="shared" si="56"/>
        <v>0</v>
      </c>
      <c r="K52" s="866">
        <f t="shared" si="56"/>
        <v>0</v>
      </c>
      <c r="L52" s="870">
        <f t="shared" si="56"/>
        <v>0</v>
      </c>
      <c r="M52" s="866">
        <f t="shared" si="56"/>
        <v>0</v>
      </c>
      <c r="N52" s="866">
        <f t="shared" si="56"/>
        <v>0</v>
      </c>
      <c r="O52" s="866">
        <f t="shared" si="56"/>
        <v>0</v>
      </c>
      <c r="P52" s="866">
        <f t="shared" si="56"/>
        <v>0</v>
      </c>
      <c r="Q52" s="866">
        <f t="shared" si="56"/>
        <v>0</v>
      </c>
      <c r="R52" s="866">
        <f t="shared" si="56"/>
        <v>0</v>
      </c>
    </row>
    <row r="53" spans="1:19" ht="25.5" customHeight="1" x14ac:dyDescent="0.25">
      <c r="A53" s="573" t="s">
        <v>73</v>
      </c>
      <c r="B53" s="1414" t="s">
        <v>72</v>
      </c>
      <c r="C53" s="1414"/>
      <c r="D53" s="871">
        <f t="shared" ref="D53:F57" si="57">+G53+J53+M53+P53</f>
        <v>8874</v>
      </c>
      <c r="E53" s="864">
        <f t="shared" si="57"/>
        <v>-56</v>
      </c>
      <c r="F53" s="937">
        <f t="shared" si="57"/>
        <v>8818</v>
      </c>
      <c r="G53" s="871">
        <v>794</v>
      </c>
      <c r="H53" s="864">
        <v>-56</v>
      </c>
      <c r="I53" s="864">
        <f t="shared" ref="I53:I57" si="58">+G53+H53</f>
        <v>738</v>
      </c>
      <c r="J53" s="871">
        <v>104</v>
      </c>
      <c r="K53" s="864"/>
      <c r="L53" s="871">
        <f t="shared" ref="L53:L57" si="59">+J53+K53</f>
        <v>104</v>
      </c>
      <c r="M53" s="864"/>
      <c r="N53" s="864"/>
      <c r="O53" s="864">
        <f t="shared" ref="O53:O57" si="60">+M53+N53</f>
        <v>0</v>
      </c>
      <c r="P53" s="876">
        <v>7976</v>
      </c>
      <c r="Q53" s="864"/>
      <c r="R53" s="864">
        <f t="shared" ref="R53:R57" si="61">+P53+Q53</f>
        <v>7976</v>
      </c>
    </row>
    <row r="54" spans="1:19" x14ac:dyDescent="0.25">
      <c r="A54" s="573" t="s">
        <v>75</v>
      </c>
      <c r="B54" s="1414" t="s">
        <v>427</v>
      </c>
      <c r="C54" s="1414"/>
      <c r="D54" s="871">
        <f t="shared" si="57"/>
        <v>1439</v>
      </c>
      <c r="E54" s="864">
        <f t="shared" si="57"/>
        <v>0</v>
      </c>
      <c r="F54" s="864">
        <f t="shared" si="57"/>
        <v>1439</v>
      </c>
      <c r="G54" s="864"/>
      <c r="H54" s="864"/>
      <c r="I54" s="864">
        <f t="shared" si="58"/>
        <v>0</v>
      </c>
      <c r="J54" s="871"/>
      <c r="K54" s="864"/>
      <c r="L54" s="871">
        <f t="shared" si="59"/>
        <v>0</v>
      </c>
      <c r="M54" s="864"/>
      <c r="N54" s="864"/>
      <c r="O54" s="864">
        <f t="shared" si="60"/>
        <v>0</v>
      </c>
      <c r="P54" s="876">
        <v>1439</v>
      </c>
      <c r="Q54" s="864"/>
      <c r="R54" s="864">
        <f t="shared" si="61"/>
        <v>1439</v>
      </c>
    </row>
    <row r="55" spans="1:19" x14ac:dyDescent="0.25">
      <c r="A55" s="573" t="s">
        <v>76</v>
      </c>
      <c r="B55" s="1414" t="s">
        <v>428</v>
      </c>
      <c r="C55" s="1414"/>
      <c r="D55" s="864">
        <f t="shared" si="57"/>
        <v>0</v>
      </c>
      <c r="E55" s="864">
        <f t="shared" si="57"/>
        <v>0</v>
      </c>
      <c r="F55" s="864">
        <f t="shared" si="57"/>
        <v>0</v>
      </c>
      <c r="G55" s="864"/>
      <c r="H55" s="864"/>
      <c r="I55" s="864">
        <f t="shared" si="58"/>
        <v>0</v>
      </c>
      <c r="J55" s="871"/>
      <c r="K55" s="864"/>
      <c r="L55" s="871">
        <f t="shared" si="59"/>
        <v>0</v>
      </c>
      <c r="M55" s="864"/>
      <c r="N55" s="864"/>
      <c r="O55" s="864">
        <f t="shared" si="60"/>
        <v>0</v>
      </c>
      <c r="P55" s="864"/>
      <c r="Q55" s="864"/>
      <c r="R55" s="864">
        <f t="shared" si="61"/>
        <v>0</v>
      </c>
    </row>
    <row r="56" spans="1:19" x14ac:dyDescent="0.25">
      <c r="A56" s="573" t="s">
        <v>77</v>
      </c>
      <c r="B56" s="1414" t="s">
        <v>429</v>
      </c>
      <c r="C56" s="1414"/>
      <c r="D56" s="864">
        <f t="shared" si="57"/>
        <v>0</v>
      </c>
      <c r="E56" s="864">
        <f t="shared" si="57"/>
        <v>0</v>
      </c>
      <c r="F56" s="864">
        <f t="shared" si="57"/>
        <v>0</v>
      </c>
      <c r="G56" s="864"/>
      <c r="H56" s="864"/>
      <c r="I56" s="864">
        <f t="shared" si="58"/>
        <v>0</v>
      </c>
      <c r="J56" s="871"/>
      <c r="K56" s="864"/>
      <c r="L56" s="871">
        <f t="shared" si="59"/>
        <v>0</v>
      </c>
      <c r="M56" s="864"/>
      <c r="N56" s="864"/>
      <c r="O56" s="864">
        <f t="shared" si="60"/>
        <v>0</v>
      </c>
      <c r="P56" s="864"/>
      <c r="Q56" s="864"/>
      <c r="R56" s="864">
        <f t="shared" si="61"/>
        <v>0</v>
      </c>
    </row>
    <row r="57" spans="1:19" x14ac:dyDescent="0.25">
      <c r="A57" s="573" t="s">
        <v>79</v>
      </c>
      <c r="B57" s="1414" t="s">
        <v>78</v>
      </c>
      <c r="C57" s="1414"/>
      <c r="D57" s="864">
        <f t="shared" si="57"/>
        <v>10</v>
      </c>
      <c r="E57" s="864">
        <f t="shared" si="57"/>
        <v>2</v>
      </c>
      <c r="F57" s="864">
        <f t="shared" si="57"/>
        <v>12</v>
      </c>
      <c r="G57" s="864">
        <v>10</v>
      </c>
      <c r="H57" s="864">
        <v>2</v>
      </c>
      <c r="I57" s="864">
        <f t="shared" si="58"/>
        <v>12</v>
      </c>
      <c r="J57" s="871"/>
      <c r="K57" s="864"/>
      <c r="L57" s="871">
        <f t="shared" si="59"/>
        <v>0</v>
      </c>
      <c r="M57" s="864"/>
      <c r="N57" s="864"/>
      <c r="O57" s="864">
        <f t="shared" si="60"/>
        <v>0</v>
      </c>
      <c r="P57" s="864"/>
      <c r="Q57" s="864"/>
      <c r="R57" s="864">
        <f t="shared" si="61"/>
        <v>0</v>
      </c>
    </row>
    <row r="58" spans="1:19" s="575" customFormat="1" ht="27" customHeight="1" x14ac:dyDescent="0.25">
      <c r="A58" s="574" t="s">
        <v>80</v>
      </c>
      <c r="B58" s="1413" t="s">
        <v>152</v>
      </c>
      <c r="C58" s="1413"/>
      <c r="D58" s="870">
        <f>SUM(D53:D57)</f>
        <v>10323</v>
      </c>
      <c r="E58" s="866">
        <f t="shared" ref="E58:R58" si="62">SUM(E53:E57)</f>
        <v>-54</v>
      </c>
      <c r="F58" s="870">
        <f t="shared" si="62"/>
        <v>10269</v>
      </c>
      <c r="G58" s="870">
        <f t="shared" si="62"/>
        <v>804</v>
      </c>
      <c r="H58" s="870"/>
      <c r="I58" s="866">
        <f t="shared" si="62"/>
        <v>750</v>
      </c>
      <c r="J58" s="870">
        <f t="shared" si="62"/>
        <v>104</v>
      </c>
      <c r="K58" s="866">
        <f t="shared" si="62"/>
        <v>0</v>
      </c>
      <c r="L58" s="870">
        <f t="shared" si="62"/>
        <v>104</v>
      </c>
      <c r="M58" s="866">
        <f t="shared" si="62"/>
        <v>0</v>
      </c>
      <c r="N58" s="866">
        <f t="shared" si="62"/>
        <v>0</v>
      </c>
      <c r="O58" s="866">
        <f t="shared" si="62"/>
        <v>0</v>
      </c>
      <c r="P58" s="870">
        <f t="shared" si="62"/>
        <v>9415</v>
      </c>
      <c r="Q58" s="866">
        <f t="shared" si="62"/>
        <v>0</v>
      </c>
      <c r="R58" s="866">
        <f t="shared" si="62"/>
        <v>9415</v>
      </c>
    </row>
    <row r="59" spans="1:19" x14ac:dyDescent="0.25">
      <c r="A59" s="574" t="s">
        <v>81</v>
      </c>
      <c r="B59" s="1413" t="s">
        <v>340</v>
      </c>
      <c r="C59" s="1413"/>
      <c r="D59" s="870">
        <f>+D58+D52+D49+D39+D36</f>
        <v>43930</v>
      </c>
      <c r="E59" s="866">
        <f t="shared" ref="E59:R59" si="63">+E58+E52+E49+E39+E36</f>
        <v>0</v>
      </c>
      <c r="F59" s="870">
        <f t="shared" si="63"/>
        <v>43930</v>
      </c>
      <c r="G59" s="870">
        <f>+G58+G52+G49+G39+G36</f>
        <v>3784</v>
      </c>
      <c r="H59" s="866"/>
      <c r="I59" s="866">
        <f t="shared" si="63"/>
        <v>3717</v>
      </c>
      <c r="J59" s="870">
        <f t="shared" si="63"/>
        <v>1007</v>
      </c>
      <c r="K59" s="870">
        <f t="shared" si="63"/>
        <v>67</v>
      </c>
      <c r="L59" s="870">
        <f t="shared" si="63"/>
        <v>1074</v>
      </c>
      <c r="M59" s="870">
        <f t="shared" si="63"/>
        <v>183</v>
      </c>
      <c r="N59" s="870">
        <f t="shared" si="63"/>
        <v>0</v>
      </c>
      <c r="O59" s="870">
        <f t="shared" si="63"/>
        <v>183</v>
      </c>
      <c r="P59" s="870">
        <f t="shared" si="63"/>
        <v>38956</v>
      </c>
      <c r="Q59" s="870">
        <f t="shared" si="63"/>
        <v>0</v>
      </c>
      <c r="R59" s="870">
        <f t="shared" si="63"/>
        <v>38956</v>
      </c>
      <c r="S59" s="877"/>
    </row>
    <row r="60" spans="1:19" x14ac:dyDescent="0.25">
      <c r="A60" s="577"/>
      <c r="B60" s="1417"/>
      <c r="C60" s="1417"/>
      <c r="D60" s="867"/>
      <c r="E60" s="867"/>
      <c r="F60" s="868"/>
      <c r="G60" s="869"/>
      <c r="H60" s="867"/>
      <c r="I60" s="864">
        <f t="shared" ref="I60:I62" si="64">+G60+H60</f>
        <v>0</v>
      </c>
      <c r="J60" s="869"/>
      <c r="K60" s="867"/>
      <c r="L60" s="934"/>
      <c r="M60" s="869"/>
      <c r="N60" s="867"/>
      <c r="O60" s="868"/>
      <c r="P60" s="869"/>
      <c r="Q60" s="867"/>
      <c r="R60" s="867"/>
    </row>
    <row r="61" spans="1:19" ht="28.5" customHeight="1" x14ac:dyDescent="0.25">
      <c r="A61" s="573" t="s">
        <v>107</v>
      </c>
      <c r="B61" s="1414" t="s">
        <v>164</v>
      </c>
      <c r="C61" s="1414"/>
      <c r="D61" s="864">
        <f>+J61</f>
        <v>14565</v>
      </c>
      <c r="E61" s="864">
        <f t="shared" ref="E61:F62" si="65">+H61+K61+N61+Q61</f>
        <v>0</v>
      </c>
      <c r="F61" s="864">
        <f t="shared" si="65"/>
        <v>14565</v>
      </c>
      <c r="G61" s="864"/>
      <c r="H61" s="864"/>
      <c r="I61" s="864">
        <f t="shared" si="64"/>
        <v>0</v>
      </c>
      <c r="J61" s="864">
        <v>14565</v>
      </c>
      <c r="K61" s="864"/>
      <c r="L61" s="871">
        <f t="shared" ref="L61:L62" si="66">+J61+K61</f>
        <v>14565</v>
      </c>
      <c r="M61" s="864"/>
      <c r="N61" s="864"/>
      <c r="O61" s="864">
        <f t="shared" ref="O61:O62" si="67">+M61+N61</f>
        <v>0</v>
      </c>
      <c r="P61" s="864"/>
      <c r="Q61" s="864"/>
      <c r="R61" s="864">
        <f t="shared" ref="R61:R62" si="68">+P61+Q61</f>
        <v>0</v>
      </c>
    </row>
    <row r="62" spans="1:19" ht="25.5" customHeight="1" x14ac:dyDescent="0.25">
      <c r="A62" s="584" t="s">
        <v>107</v>
      </c>
      <c r="B62" s="874"/>
      <c r="C62" s="878" t="s">
        <v>104</v>
      </c>
      <c r="D62" s="864">
        <f>+J62</f>
        <v>14565</v>
      </c>
      <c r="E62" s="864">
        <f t="shared" si="65"/>
        <v>0</v>
      </c>
      <c r="F62" s="864">
        <f t="shared" si="65"/>
        <v>14565</v>
      </c>
      <c r="G62" s="864"/>
      <c r="H62" s="864"/>
      <c r="I62" s="864">
        <f t="shared" si="64"/>
        <v>0</v>
      </c>
      <c r="J62" s="873">
        <v>14565</v>
      </c>
      <c r="K62" s="864"/>
      <c r="L62" s="871">
        <f t="shared" si="66"/>
        <v>14565</v>
      </c>
      <c r="M62" s="864"/>
      <c r="N62" s="864"/>
      <c r="O62" s="864">
        <f t="shared" si="67"/>
        <v>0</v>
      </c>
      <c r="P62" s="864"/>
      <c r="Q62" s="864"/>
      <c r="R62" s="864">
        <f t="shared" si="68"/>
        <v>0</v>
      </c>
    </row>
    <row r="63" spans="1:19" x14ac:dyDescent="0.25">
      <c r="A63" s="574" t="s">
        <v>108</v>
      </c>
      <c r="B63" s="1413" t="s">
        <v>163</v>
      </c>
      <c r="C63" s="1413"/>
      <c r="D63" s="866">
        <f>+D61</f>
        <v>14565</v>
      </c>
      <c r="E63" s="866">
        <f t="shared" ref="E63:R63" si="69">+E61</f>
        <v>0</v>
      </c>
      <c r="F63" s="866">
        <f t="shared" si="69"/>
        <v>14565</v>
      </c>
      <c r="G63" s="866">
        <f t="shared" si="69"/>
        <v>0</v>
      </c>
      <c r="H63" s="866">
        <f t="shared" si="69"/>
        <v>0</v>
      </c>
      <c r="I63" s="866">
        <f t="shared" si="69"/>
        <v>0</v>
      </c>
      <c r="J63" s="866">
        <f t="shared" si="69"/>
        <v>14565</v>
      </c>
      <c r="K63" s="866">
        <f t="shared" si="69"/>
        <v>0</v>
      </c>
      <c r="L63" s="870">
        <f t="shared" si="69"/>
        <v>14565</v>
      </c>
      <c r="M63" s="866">
        <f t="shared" si="69"/>
        <v>0</v>
      </c>
      <c r="N63" s="866">
        <f t="shared" si="69"/>
        <v>0</v>
      </c>
      <c r="O63" s="866">
        <f t="shared" si="69"/>
        <v>0</v>
      </c>
      <c r="P63" s="866"/>
      <c r="Q63" s="866">
        <f t="shared" si="69"/>
        <v>0</v>
      </c>
      <c r="R63" s="866">
        <f t="shared" si="69"/>
        <v>0</v>
      </c>
    </row>
    <row r="64" spans="1:19" ht="8.25" customHeight="1" x14ac:dyDescent="0.25">
      <c r="A64" s="585"/>
      <c r="B64" s="586"/>
      <c r="C64" s="586"/>
      <c r="D64" s="879"/>
      <c r="E64" s="879"/>
      <c r="F64" s="879"/>
      <c r="G64" s="879"/>
      <c r="H64" s="879"/>
      <c r="I64" s="879"/>
      <c r="J64" s="879"/>
      <c r="K64" s="879"/>
      <c r="L64" s="938"/>
      <c r="M64" s="879"/>
      <c r="N64" s="879"/>
      <c r="O64" s="879"/>
      <c r="P64" s="879"/>
      <c r="Q64" s="879"/>
      <c r="R64" s="879"/>
    </row>
    <row r="65" spans="1:18" ht="11.25" customHeight="1" x14ac:dyDescent="0.25">
      <c r="A65" s="587"/>
      <c r="B65" s="588"/>
      <c r="C65" s="588"/>
      <c r="D65" s="880"/>
      <c r="E65" s="880"/>
      <c r="F65" s="880"/>
      <c r="G65" s="880"/>
      <c r="H65" s="880"/>
      <c r="I65" s="880"/>
      <c r="J65" s="880"/>
      <c r="K65" s="880"/>
      <c r="L65" s="939"/>
      <c r="M65" s="880"/>
      <c r="N65" s="880"/>
      <c r="O65" s="880"/>
      <c r="P65" s="880"/>
      <c r="Q65" s="880"/>
      <c r="R65" s="880"/>
    </row>
    <row r="66" spans="1:18" ht="15" customHeight="1" x14ac:dyDescent="0.25">
      <c r="A66" s="573" t="s">
        <v>110</v>
      </c>
      <c r="B66" s="1414" t="s">
        <v>109</v>
      </c>
      <c r="C66" s="1414"/>
      <c r="D66" s="864">
        <f>+G66+J66+M66+P66</f>
        <v>0</v>
      </c>
      <c r="E66" s="864">
        <f t="shared" ref="E66:F73" si="70">+H66+K66+N66+Q66</f>
        <v>0</v>
      </c>
      <c r="F66" s="864">
        <f t="shared" si="70"/>
        <v>0</v>
      </c>
      <c r="G66" s="864"/>
      <c r="H66" s="864"/>
      <c r="I66" s="864">
        <f t="shared" ref="I66:I73" si="71">+G66+H66</f>
        <v>0</v>
      </c>
      <c r="J66" s="864"/>
      <c r="K66" s="864"/>
      <c r="L66" s="871">
        <f t="shared" ref="L66:L73" si="72">+J66+K66</f>
        <v>0</v>
      </c>
      <c r="M66" s="864"/>
      <c r="N66" s="864"/>
      <c r="O66" s="864">
        <f t="shared" ref="O66:O73" si="73">+M66+N66</f>
        <v>0</v>
      </c>
      <c r="P66" s="864"/>
      <c r="Q66" s="864"/>
      <c r="R66" s="864">
        <f t="shared" ref="R66:R73" si="74">+P66+Q66</f>
        <v>0</v>
      </c>
    </row>
    <row r="67" spans="1:18" ht="15" customHeight="1" x14ac:dyDescent="0.25">
      <c r="A67" s="573" t="s">
        <v>111</v>
      </c>
      <c r="B67" s="1414" t="s">
        <v>430</v>
      </c>
      <c r="C67" s="1414"/>
      <c r="D67" s="864">
        <f t="shared" ref="D67:D73" si="75">+G67+J67+M67+P67</f>
        <v>0</v>
      </c>
      <c r="E67" s="864">
        <f t="shared" si="70"/>
        <v>0</v>
      </c>
      <c r="F67" s="864">
        <f t="shared" si="70"/>
        <v>0</v>
      </c>
      <c r="G67" s="864"/>
      <c r="H67" s="864"/>
      <c r="I67" s="864">
        <f t="shared" si="71"/>
        <v>0</v>
      </c>
      <c r="J67" s="864"/>
      <c r="K67" s="864"/>
      <c r="L67" s="871">
        <f t="shared" si="72"/>
        <v>0</v>
      </c>
      <c r="M67" s="864"/>
      <c r="N67" s="864"/>
      <c r="O67" s="864">
        <f t="shared" si="73"/>
        <v>0</v>
      </c>
      <c r="P67" s="864"/>
      <c r="Q67" s="864"/>
      <c r="R67" s="864">
        <f t="shared" si="74"/>
        <v>0</v>
      </c>
    </row>
    <row r="68" spans="1:18" ht="25.5" x14ac:dyDescent="0.25">
      <c r="A68" s="578" t="s">
        <v>111</v>
      </c>
      <c r="B68" s="874"/>
      <c r="C68" s="878" t="s">
        <v>112</v>
      </c>
      <c r="D68" s="864">
        <f t="shared" si="75"/>
        <v>0</v>
      </c>
      <c r="E68" s="864">
        <f t="shared" si="70"/>
        <v>0</v>
      </c>
      <c r="F68" s="864">
        <f t="shared" si="70"/>
        <v>0</v>
      </c>
      <c r="G68" s="864"/>
      <c r="H68" s="864"/>
      <c r="I68" s="864">
        <f t="shared" si="71"/>
        <v>0</v>
      </c>
      <c r="J68" s="864"/>
      <c r="K68" s="864"/>
      <c r="L68" s="871">
        <f t="shared" si="72"/>
        <v>0</v>
      </c>
      <c r="M68" s="864"/>
      <c r="N68" s="864"/>
      <c r="O68" s="864">
        <f t="shared" si="73"/>
        <v>0</v>
      </c>
      <c r="P68" s="864"/>
      <c r="Q68" s="864"/>
      <c r="R68" s="864">
        <f t="shared" si="74"/>
        <v>0</v>
      </c>
    </row>
    <row r="69" spans="1:18" ht="27.75" customHeight="1" x14ac:dyDescent="0.25">
      <c r="A69" s="573" t="s">
        <v>114</v>
      </c>
      <c r="B69" s="1414" t="s">
        <v>113</v>
      </c>
      <c r="C69" s="1414"/>
      <c r="D69" s="864">
        <f t="shared" si="75"/>
        <v>323</v>
      </c>
      <c r="E69" s="864">
        <f t="shared" si="70"/>
        <v>0</v>
      </c>
      <c r="F69" s="864">
        <f t="shared" si="70"/>
        <v>323</v>
      </c>
      <c r="G69" s="864">
        <v>323</v>
      </c>
      <c r="H69" s="864">
        <v>0</v>
      </c>
      <c r="I69" s="864">
        <f t="shared" si="71"/>
        <v>323</v>
      </c>
      <c r="J69" s="864"/>
      <c r="K69" s="864"/>
      <c r="L69" s="871">
        <f t="shared" si="72"/>
        <v>0</v>
      </c>
      <c r="M69" s="864"/>
      <c r="N69" s="864"/>
      <c r="O69" s="864">
        <f t="shared" si="73"/>
        <v>0</v>
      </c>
      <c r="P69" s="864"/>
      <c r="Q69" s="864"/>
      <c r="R69" s="864">
        <f t="shared" si="74"/>
        <v>0</v>
      </c>
    </row>
    <row r="70" spans="1:18" ht="28.5" customHeight="1" x14ac:dyDescent="0.25">
      <c r="A70" s="573" t="s">
        <v>116</v>
      </c>
      <c r="B70" s="1414" t="s">
        <v>115</v>
      </c>
      <c r="C70" s="1414"/>
      <c r="D70" s="864">
        <f t="shared" si="75"/>
        <v>464</v>
      </c>
      <c r="E70" s="864">
        <f t="shared" si="70"/>
        <v>0</v>
      </c>
      <c r="F70" s="864">
        <f t="shared" si="70"/>
        <v>464</v>
      </c>
      <c r="G70" s="864">
        <v>464</v>
      </c>
      <c r="H70" s="864"/>
      <c r="I70" s="864">
        <f t="shared" si="71"/>
        <v>464</v>
      </c>
      <c r="J70" s="864"/>
      <c r="K70" s="864"/>
      <c r="L70" s="871">
        <f t="shared" si="72"/>
        <v>0</v>
      </c>
      <c r="M70" s="864"/>
      <c r="N70" s="864"/>
      <c r="O70" s="864">
        <f t="shared" si="73"/>
        <v>0</v>
      </c>
      <c r="P70" s="864"/>
      <c r="Q70" s="864"/>
      <c r="R70" s="864">
        <f t="shared" si="74"/>
        <v>0</v>
      </c>
    </row>
    <row r="71" spans="1:18" ht="15" customHeight="1" x14ac:dyDescent="0.25">
      <c r="A71" s="573" t="s">
        <v>118</v>
      </c>
      <c r="B71" s="1414" t="s">
        <v>117</v>
      </c>
      <c r="C71" s="1414"/>
      <c r="D71" s="864">
        <f t="shared" si="75"/>
        <v>0</v>
      </c>
      <c r="E71" s="864">
        <f t="shared" si="70"/>
        <v>0</v>
      </c>
      <c r="F71" s="864">
        <f t="shared" si="70"/>
        <v>0</v>
      </c>
      <c r="G71" s="864"/>
      <c r="H71" s="864"/>
      <c r="I71" s="864">
        <f t="shared" si="71"/>
        <v>0</v>
      </c>
      <c r="J71" s="864"/>
      <c r="K71" s="864"/>
      <c r="L71" s="871">
        <f t="shared" si="72"/>
        <v>0</v>
      </c>
      <c r="M71" s="864"/>
      <c r="N71" s="864"/>
      <c r="O71" s="864">
        <f t="shared" si="73"/>
        <v>0</v>
      </c>
      <c r="P71" s="864"/>
      <c r="Q71" s="864"/>
      <c r="R71" s="864">
        <f t="shared" si="74"/>
        <v>0</v>
      </c>
    </row>
    <row r="72" spans="1:18" ht="27" customHeight="1" x14ac:dyDescent="0.25">
      <c r="A72" s="573" t="s">
        <v>120</v>
      </c>
      <c r="B72" s="1414" t="s">
        <v>119</v>
      </c>
      <c r="C72" s="1414"/>
      <c r="D72" s="864">
        <f t="shared" si="75"/>
        <v>0</v>
      </c>
      <c r="E72" s="864">
        <f t="shared" si="70"/>
        <v>0</v>
      </c>
      <c r="F72" s="864">
        <f t="shared" si="70"/>
        <v>0</v>
      </c>
      <c r="G72" s="864"/>
      <c r="H72" s="864"/>
      <c r="I72" s="864">
        <f t="shared" si="71"/>
        <v>0</v>
      </c>
      <c r="J72" s="864"/>
      <c r="K72" s="864"/>
      <c r="L72" s="871">
        <f t="shared" si="72"/>
        <v>0</v>
      </c>
      <c r="M72" s="864"/>
      <c r="N72" s="864"/>
      <c r="O72" s="864">
        <f t="shared" si="73"/>
        <v>0</v>
      </c>
      <c r="P72" s="864"/>
      <c r="Q72" s="864"/>
      <c r="R72" s="864">
        <f t="shared" si="74"/>
        <v>0</v>
      </c>
    </row>
    <row r="73" spans="1:18" ht="25.5" customHeight="1" x14ac:dyDescent="0.25">
      <c r="A73" s="573" t="s">
        <v>122</v>
      </c>
      <c r="B73" s="1414" t="s">
        <v>121</v>
      </c>
      <c r="C73" s="1414"/>
      <c r="D73" s="864">
        <f t="shared" si="75"/>
        <v>213</v>
      </c>
      <c r="E73" s="864">
        <f t="shared" si="70"/>
        <v>0</v>
      </c>
      <c r="F73" s="864">
        <f t="shared" si="70"/>
        <v>213</v>
      </c>
      <c r="G73" s="864">
        <v>213</v>
      </c>
      <c r="H73" s="864">
        <v>0</v>
      </c>
      <c r="I73" s="864">
        <f t="shared" si="71"/>
        <v>213</v>
      </c>
      <c r="J73" s="864"/>
      <c r="K73" s="864"/>
      <c r="L73" s="871">
        <f t="shared" si="72"/>
        <v>0</v>
      </c>
      <c r="M73" s="864"/>
      <c r="N73" s="864"/>
      <c r="O73" s="864">
        <f t="shared" si="73"/>
        <v>0</v>
      </c>
      <c r="P73" s="864"/>
      <c r="Q73" s="864"/>
      <c r="R73" s="864">
        <f t="shared" si="74"/>
        <v>0</v>
      </c>
    </row>
    <row r="74" spans="1:18" ht="15" customHeight="1" x14ac:dyDescent="0.25">
      <c r="A74" s="574" t="s">
        <v>123</v>
      </c>
      <c r="B74" s="1413" t="s">
        <v>161</v>
      </c>
      <c r="C74" s="1413"/>
      <c r="D74" s="866">
        <f t="shared" ref="D74:F74" si="76">SUM(D66:D73)</f>
        <v>1000</v>
      </c>
      <c r="E74" s="866">
        <f t="shared" si="76"/>
        <v>0</v>
      </c>
      <c r="F74" s="866">
        <f t="shared" si="76"/>
        <v>1000</v>
      </c>
      <c r="G74" s="866">
        <f t="shared" ref="G74:R74" si="77">(((((+G73+G72)+G71)+G70)+G69)+G67)+G66</f>
        <v>1000</v>
      </c>
      <c r="H74" s="866">
        <f t="shared" si="77"/>
        <v>0</v>
      </c>
      <c r="I74" s="866">
        <f t="shared" si="77"/>
        <v>1000</v>
      </c>
      <c r="J74" s="866">
        <f t="shared" si="77"/>
        <v>0</v>
      </c>
      <c r="K74" s="866">
        <f t="shared" si="77"/>
        <v>0</v>
      </c>
      <c r="L74" s="870">
        <f t="shared" si="77"/>
        <v>0</v>
      </c>
      <c r="M74" s="866">
        <f t="shared" si="77"/>
        <v>0</v>
      </c>
      <c r="N74" s="866">
        <f t="shared" si="77"/>
        <v>0</v>
      </c>
      <c r="O74" s="866">
        <f t="shared" si="77"/>
        <v>0</v>
      </c>
      <c r="P74" s="866">
        <f t="shared" si="77"/>
        <v>0</v>
      </c>
      <c r="Q74" s="866">
        <f t="shared" si="77"/>
        <v>0</v>
      </c>
      <c r="R74" s="866">
        <f t="shared" si="77"/>
        <v>0</v>
      </c>
    </row>
    <row r="75" spans="1:18" x14ac:dyDescent="0.25">
      <c r="A75" s="577"/>
      <c r="B75" s="853"/>
      <c r="C75" s="853"/>
      <c r="D75" s="867"/>
      <c r="E75" s="867"/>
      <c r="F75" s="868"/>
      <c r="G75" s="869"/>
      <c r="H75" s="867"/>
      <c r="I75" s="868"/>
      <c r="J75" s="869"/>
      <c r="K75" s="867"/>
      <c r="L75" s="934"/>
      <c r="M75" s="869"/>
      <c r="N75" s="867"/>
      <c r="O75" s="868"/>
      <c r="P75" s="869"/>
      <c r="Q75" s="867"/>
      <c r="R75" s="867"/>
    </row>
    <row r="76" spans="1:18" ht="15" hidden="1" customHeight="1" x14ac:dyDescent="0.25">
      <c r="A76" s="573" t="s">
        <v>125</v>
      </c>
      <c r="B76" s="1414" t="s">
        <v>124</v>
      </c>
      <c r="C76" s="1414"/>
      <c r="D76" s="864">
        <f>+G76+J76+M76+P76</f>
        <v>0</v>
      </c>
      <c r="E76" s="864"/>
      <c r="F76" s="864"/>
      <c r="G76" s="864"/>
      <c r="H76" s="864"/>
      <c r="I76" s="864"/>
      <c r="J76" s="864"/>
      <c r="K76" s="864"/>
      <c r="L76" s="871"/>
      <c r="M76" s="864"/>
      <c r="N76" s="864"/>
      <c r="O76" s="864"/>
      <c r="P76" s="864"/>
      <c r="Q76" s="864"/>
      <c r="R76" s="869"/>
    </row>
    <row r="77" spans="1:18" ht="15" hidden="1" customHeight="1" x14ac:dyDescent="0.25">
      <c r="A77" s="573" t="s">
        <v>127</v>
      </c>
      <c r="B77" s="1414" t="s">
        <v>126</v>
      </c>
      <c r="C77" s="1414"/>
      <c r="D77" s="864">
        <f t="shared" ref="D77:D79" si="78">+G77+J77+M77+P77</f>
        <v>0</v>
      </c>
      <c r="E77" s="864"/>
      <c r="F77" s="864"/>
      <c r="G77" s="864"/>
      <c r="H77" s="864"/>
      <c r="I77" s="864"/>
      <c r="J77" s="864"/>
      <c r="K77" s="864"/>
      <c r="L77" s="871"/>
      <c r="M77" s="864"/>
      <c r="N77" s="864"/>
      <c r="O77" s="864"/>
      <c r="P77" s="864"/>
      <c r="Q77" s="864"/>
      <c r="R77" s="869"/>
    </row>
    <row r="78" spans="1:18" ht="15" hidden="1" customHeight="1" x14ac:dyDescent="0.25">
      <c r="A78" s="573" t="s">
        <v>129</v>
      </c>
      <c r="B78" s="1414" t="s">
        <v>431</v>
      </c>
      <c r="C78" s="1414"/>
      <c r="D78" s="864">
        <f t="shared" si="78"/>
        <v>0</v>
      </c>
      <c r="E78" s="864"/>
      <c r="F78" s="864"/>
      <c r="G78" s="864"/>
      <c r="H78" s="864"/>
      <c r="I78" s="864"/>
      <c r="J78" s="864"/>
      <c r="K78" s="864"/>
      <c r="L78" s="871"/>
      <c r="M78" s="864"/>
      <c r="N78" s="864"/>
      <c r="O78" s="864"/>
      <c r="P78" s="864"/>
      <c r="Q78" s="864"/>
      <c r="R78" s="869"/>
    </row>
    <row r="79" spans="1:18" ht="15" hidden="1" customHeight="1" x14ac:dyDescent="0.25">
      <c r="A79" s="573" t="s">
        <v>131</v>
      </c>
      <c r="B79" s="1414" t="s">
        <v>130</v>
      </c>
      <c r="C79" s="1414"/>
      <c r="D79" s="864">
        <f t="shared" si="78"/>
        <v>0</v>
      </c>
      <c r="E79" s="864"/>
      <c r="F79" s="864"/>
      <c r="G79" s="864"/>
      <c r="H79" s="864"/>
      <c r="I79" s="864"/>
      <c r="J79" s="864"/>
      <c r="K79" s="864"/>
      <c r="L79" s="871"/>
      <c r="M79" s="864"/>
      <c r="N79" s="864"/>
      <c r="O79" s="864"/>
      <c r="P79" s="864"/>
      <c r="Q79" s="864"/>
      <c r="R79" s="869"/>
    </row>
    <row r="80" spans="1:18" ht="15" customHeight="1" x14ac:dyDescent="0.25">
      <c r="A80" s="574" t="s">
        <v>132</v>
      </c>
      <c r="B80" s="1413" t="s">
        <v>311</v>
      </c>
      <c r="C80" s="1413"/>
      <c r="D80" s="866">
        <f t="shared" ref="D80:R80" si="79">SUM(D76:D79)</f>
        <v>0</v>
      </c>
      <c r="E80" s="866">
        <f t="shared" si="79"/>
        <v>0</v>
      </c>
      <c r="F80" s="866">
        <f t="shared" si="79"/>
        <v>0</v>
      </c>
      <c r="G80" s="866">
        <f t="shared" si="79"/>
        <v>0</v>
      </c>
      <c r="H80" s="866">
        <f t="shared" si="79"/>
        <v>0</v>
      </c>
      <c r="I80" s="866">
        <f t="shared" si="79"/>
        <v>0</v>
      </c>
      <c r="J80" s="866">
        <f t="shared" si="79"/>
        <v>0</v>
      </c>
      <c r="K80" s="866">
        <f t="shared" si="79"/>
        <v>0</v>
      </c>
      <c r="L80" s="870">
        <f t="shared" si="79"/>
        <v>0</v>
      </c>
      <c r="M80" s="866">
        <f t="shared" si="79"/>
        <v>0</v>
      </c>
      <c r="N80" s="866">
        <f t="shared" si="79"/>
        <v>0</v>
      </c>
      <c r="O80" s="866">
        <f t="shared" si="79"/>
        <v>0</v>
      </c>
      <c r="P80" s="866">
        <f t="shared" si="79"/>
        <v>0</v>
      </c>
      <c r="Q80" s="866">
        <f t="shared" si="79"/>
        <v>0</v>
      </c>
      <c r="R80" s="866">
        <f t="shared" si="79"/>
        <v>0</v>
      </c>
    </row>
    <row r="81" spans="1:18" x14ac:dyDescent="0.25">
      <c r="A81" s="577"/>
      <c r="B81" s="952"/>
      <c r="C81" s="952"/>
      <c r="D81" s="867"/>
      <c r="E81" s="867"/>
      <c r="F81" s="868"/>
      <c r="G81" s="869"/>
      <c r="H81" s="867"/>
      <c r="I81" s="868"/>
      <c r="J81" s="869"/>
      <c r="K81" s="867"/>
      <c r="L81" s="934"/>
      <c r="M81" s="869"/>
      <c r="N81" s="867"/>
      <c r="O81" s="868"/>
      <c r="P81" s="869"/>
      <c r="Q81" s="867"/>
      <c r="R81" s="867"/>
    </row>
    <row r="82" spans="1:18" ht="15" customHeight="1" x14ac:dyDescent="0.25">
      <c r="A82" s="574" t="s">
        <v>134</v>
      </c>
      <c r="B82" s="1413" t="s">
        <v>158</v>
      </c>
      <c r="C82" s="1413"/>
      <c r="D82" s="864"/>
      <c r="E82" s="864"/>
      <c r="F82" s="864"/>
      <c r="G82" s="864"/>
      <c r="H82" s="864"/>
      <c r="I82" s="864"/>
      <c r="J82" s="864"/>
      <c r="K82" s="864"/>
      <c r="L82" s="871"/>
      <c r="M82" s="864"/>
      <c r="N82" s="864"/>
      <c r="O82" s="864"/>
      <c r="P82" s="864"/>
      <c r="Q82" s="864"/>
      <c r="R82" s="864"/>
    </row>
    <row r="83" spans="1:18" ht="15.75" customHeight="1" thickBot="1" x14ac:dyDescent="0.3">
      <c r="A83" s="589"/>
      <c r="B83" s="586"/>
      <c r="C83" s="586"/>
      <c r="D83" s="872"/>
      <c r="E83" s="872"/>
      <c r="F83" s="881"/>
      <c r="G83" s="882"/>
      <c r="H83" s="872"/>
      <c r="I83" s="881"/>
      <c r="J83" s="882"/>
      <c r="K83" s="872"/>
      <c r="L83" s="940"/>
      <c r="M83" s="882"/>
      <c r="N83" s="872"/>
      <c r="O83" s="881"/>
      <c r="P83" s="882"/>
      <c r="Q83" s="872"/>
      <c r="R83" s="872"/>
    </row>
    <row r="84" spans="1:18" s="593" customFormat="1" ht="40.5" customHeight="1" thickBot="1" x14ac:dyDescent="0.3">
      <c r="A84" s="590" t="s">
        <v>135</v>
      </c>
      <c r="B84" s="1416" t="s">
        <v>157</v>
      </c>
      <c r="C84" s="1416"/>
      <c r="D84" s="591">
        <f>+D82+D80+D74+D63+D59+D26+D24</f>
        <v>226914</v>
      </c>
      <c r="E84" s="591">
        <f t="shared" ref="E84:R84" si="80">+E82+E80+E74+E63+E59+E26+E24</f>
        <v>426</v>
      </c>
      <c r="F84" s="591">
        <f t="shared" si="80"/>
        <v>227340</v>
      </c>
      <c r="G84" s="591">
        <f t="shared" si="80"/>
        <v>169445</v>
      </c>
      <c r="H84" s="591">
        <f t="shared" si="80"/>
        <v>426</v>
      </c>
      <c r="I84" s="591">
        <f t="shared" si="80"/>
        <v>169804</v>
      </c>
      <c r="J84" s="591">
        <f t="shared" si="80"/>
        <v>16781</v>
      </c>
      <c r="K84" s="591">
        <f t="shared" si="80"/>
        <v>67</v>
      </c>
      <c r="L84" s="941">
        <f t="shared" si="80"/>
        <v>16848</v>
      </c>
      <c r="M84" s="591">
        <f t="shared" si="80"/>
        <v>1732</v>
      </c>
      <c r="N84" s="591">
        <f t="shared" si="80"/>
        <v>0</v>
      </c>
      <c r="O84" s="591">
        <f t="shared" si="80"/>
        <v>1732</v>
      </c>
      <c r="P84" s="591">
        <f t="shared" si="80"/>
        <v>38956</v>
      </c>
      <c r="Q84" s="591">
        <f t="shared" si="80"/>
        <v>0</v>
      </c>
      <c r="R84" s="592">
        <f t="shared" si="80"/>
        <v>38956</v>
      </c>
    </row>
    <row r="85" spans="1:18" x14ac:dyDescent="0.25">
      <c r="D85" s="883"/>
    </row>
    <row r="86" spans="1:18" x14ac:dyDescent="0.25">
      <c r="D86" s="884"/>
    </row>
    <row r="87" spans="1:18" x14ac:dyDescent="0.25">
      <c r="P87" s="883"/>
    </row>
  </sheetData>
  <mergeCells count="76">
    <mergeCell ref="B84:C84"/>
    <mergeCell ref="B60:C60"/>
    <mergeCell ref="B63:C63"/>
    <mergeCell ref="B66:C66"/>
    <mergeCell ref="B69:C69"/>
    <mergeCell ref="B76:C76"/>
    <mergeCell ref="B72:C72"/>
    <mergeCell ref="B73:C73"/>
    <mergeCell ref="B77:C77"/>
    <mergeCell ref="B78:C78"/>
    <mergeCell ref="B80:C80"/>
    <mergeCell ref="B79:C79"/>
    <mergeCell ref="B82:C82"/>
    <mergeCell ref="B14:C14"/>
    <mergeCell ref="B44:C4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6:C36"/>
    <mergeCell ref="B37:C37"/>
    <mergeCell ref="B71:C71"/>
    <mergeCell ref="B61:C61"/>
    <mergeCell ref="B59:C59"/>
    <mergeCell ref="B58:C5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P1:R1"/>
    <mergeCell ref="D2:F3"/>
    <mergeCell ref="G2:I2"/>
    <mergeCell ref="J2:L2"/>
    <mergeCell ref="M2:O2"/>
    <mergeCell ref="P2:R2"/>
    <mergeCell ref="G3:I3"/>
    <mergeCell ref="J3:L3"/>
    <mergeCell ref="M3:O3"/>
    <mergeCell ref="P3:R3"/>
  </mergeCells>
  <pageMargins left="0.31496062992125984" right="0.11811023622047245" top="0.74803149606299213" bottom="0.74803149606299213" header="0.31496062992125984" footer="0.31496062992125984"/>
  <pageSetup paperSize="9" scale="62" fitToHeight="2" orientation="portrait" cellComments="asDisplayed" r:id="rId1"/>
  <headerFooter>
    <oddHeader>&amp;C&amp;"Times New Roman,Félkövér"&amp;12Martonvásár Város Önkormányzatának kiadásai 2021.
Brunszvik Teréz Óvoda&amp;R&amp;"Times New Roman,Félkövér"&amp;12 6/b.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6"/>
  <sheetViews>
    <sheetView zoomScale="89" zoomScaleNormal="89" zoomScalePageLayoutView="70" workbookViewId="0">
      <selection activeCell="N30" sqref="N30"/>
    </sheetView>
  </sheetViews>
  <sheetFormatPr defaultColWidth="8.7109375" defaultRowHeight="15" x14ac:dyDescent="0.25"/>
  <cols>
    <col min="1" max="1" width="7.140625" style="916" customWidth="1"/>
    <col min="2" max="2" width="7.140625" style="69" customWidth="1"/>
    <col min="3" max="3" width="25.7109375" style="69" customWidth="1"/>
    <col min="4" max="4" width="12" style="66" customWidth="1"/>
    <col min="5" max="5" width="9.7109375" style="66" customWidth="1"/>
    <col min="6" max="7" width="7.7109375" style="66" customWidth="1"/>
    <col min="8" max="8" width="8" style="66" customWidth="1"/>
    <col min="9" max="9" width="8.28515625" style="66" customWidth="1"/>
    <col min="10" max="10" width="6.85546875" style="66" customWidth="1"/>
    <col min="11" max="11" width="7.28515625" style="66" customWidth="1"/>
    <col min="12" max="12" width="8.7109375" style="66" customWidth="1"/>
    <col min="13" max="13" width="7" style="66" customWidth="1"/>
    <col min="14" max="14" width="7.7109375" style="66" customWidth="1"/>
    <col min="15" max="15" width="9.85546875" style="66" customWidth="1"/>
    <col min="16" max="16" width="7" style="66" customWidth="1"/>
    <col min="17" max="17" width="7.7109375" style="66" customWidth="1"/>
    <col min="18" max="18" width="9.28515625" style="66" customWidth="1"/>
    <col min="19" max="19" width="7.42578125" style="66" customWidth="1"/>
    <col min="20" max="20" width="6.7109375" style="66" customWidth="1"/>
    <col min="21" max="21" width="8.5703125" style="66" customWidth="1"/>
    <col min="22" max="22" width="7.42578125" style="66" customWidth="1"/>
    <col min="23" max="23" width="7.28515625" style="66" customWidth="1"/>
    <col min="24" max="24" width="8.140625" style="66" customWidth="1"/>
    <col min="25" max="16384" width="8.7109375" style="888"/>
  </cols>
  <sheetData>
    <row r="1" spans="1:24" x14ac:dyDescent="0.25">
      <c r="A1" s="885"/>
      <c r="B1" s="886"/>
      <c r="C1" s="886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</row>
    <row r="2" spans="1:24" ht="42" customHeight="1" x14ac:dyDescent="0.25">
      <c r="A2" s="1418" t="s">
        <v>0</v>
      </c>
      <c r="B2" s="1427" t="s">
        <v>182</v>
      </c>
      <c r="C2" s="1428"/>
      <c r="D2" s="1421" t="s">
        <v>180</v>
      </c>
      <c r="E2" s="1422"/>
      <c r="F2" s="1423"/>
      <c r="G2" s="1435" t="s">
        <v>293</v>
      </c>
      <c r="H2" s="1436"/>
      <c r="I2" s="1437"/>
      <c r="J2" s="1435" t="s">
        <v>294</v>
      </c>
      <c r="K2" s="1436"/>
      <c r="L2" s="1437"/>
      <c r="M2" s="1435" t="s">
        <v>295</v>
      </c>
      <c r="N2" s="1436"/>
      <c r="O2" s="1437"/>
      <c r="P2" s="1435" t="s">
        <v>734</v>
      </c>
      <c r="Q2" s="1436"/>
      <c r="R2" s="1437"/>
      <c r="S2" s="1435" t="s">
        <v>296</v>
      </c>
      <c r="T2" s="1436"/>
      <c r="U2" s="1437"/>
      <c r="V2" s="1386" t="s">
        <v>748</v>
      </c>
      <c r="W2" s="1438"/>
      <c r="X2" s="1387"/>
    </row>
    <row r="3" spans="1:24" ht="15" customHeight="1" x14ac:dyDescent="0.25">
      <c r="A3" s="1419"/>
      <c r="B3" s="1429"/>
      <c r="C3" s="1430"/>
      <c r="D3" s="1424"/>
      <c r="E3" s="1425"/>
      <c r="F3" s="1426"/>
      <c r="G3" s="1386" t="s">
        <v>189</v>
      </c>
      <c r="H3" s="1438"/>
      <c r="I3" s="1387"/>
      <c r="J3" s="1386" t="s">
        <v>189</v>
      </c>
      <c r="K3" s="1438"/>
      <c r="L3" s="1387"/>
      <c r="M3" s="1386" t="s">
        <v>189</v>
      </c>
      <c r="N3" s="1438"/>
      <c r="O3" s="1387"/>
      <c r="P3" s="1386" t="s">
        <v>189</v>
      </c>
      <c r="Q3" s="1438"/>
      <c r="R3" s="1387"/>
      <c r="S3" s="1386" t="s">
        <v>189</v>
      </c>
      <c r="T3" s="1438"/>
      <c r="U3" s="1387"/>
      <c r="V3" s="1386" t="s">
        <v>291</v>
      </c>
      <c r="W3" s="1438"/>
      <c r="X3" s="1387"/>
    </row>
    <row r="4" spans="1:24" s="889" customFormat="1" ht="25.5" customHeight="1" x14ac:dyDescent="0.25">
      <c r="A4" s="1420"/>
      <c r="B4" s="1431"/>
      <c r="C4" s="1432"/>
      <c r="D4" s="863" t="s">
        <v>177</v>
      </c>
      <c r="E4" s="863" t="s">
        <v>684</v>
      </c>
      <c r="F4" s="863" t="s">
        <v>821</v>
      </c>
      <c r="G4" s="863" t="s">
        <v>177</v>
      </c>
      <c r="H4" s="863" t="s">
        <v>684</v>
      </c>
      <c r="I4" s="863" t="s">
        <v>821</v>
      </c>
      <c r="J4" s="863" t="s">
        <v>177</v>
      </c>
      <c r="K4" s="863" t="s">
        <v>684</v>
      </c>
      <c r="L4" s="863" t="s">
        <v>821</v>
      </c>
      <c r="M4" s="863" t="s">
        <v>177</v>
      </c>
      <c r="N4" s="863" t="s">
        <v>684</v>
      </c>
      <c r="O4" s="863" t="s">
        <v>821</v>
      </c>
      <c r="P4" s="863" t="s">
        <v>177</v>
      </c>
      <c r="Q4" s="863" t="s">
        <v>684</v>
      </c>
      <c r="R4" s="863" t="s">
        <v>821</v>
      </c>
      <c r="S4" s="863" t="s">
        <v>177</v>
      </c>
      <c r="T4" s="863" t="s">
        <v>684</v>
      </c>
      <c r="U4" s="863" t="s">
        <v>821</v>
      </c>
      <c r="V4" s="863" t="s">
        <v>177</v>
      </c>
      <c r="W4" s="863" t="s">
        <v>684</v>
      </c>
      <c r="X4" s="863" t="s">
        <v>821</v>
      </c>
    </row>
    <row r="5" spans="1:24" ht="26.25" customHeight="1" x14ac:dyDescent="0.25">
      <c r="A5" s="56" t="s">
        <v>2</v>
      </c>
      <c r="B5" s="1390" t="s">
        <v>1</v>
      </c>
      <c r="C5" s="1391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</row>
    <row r="6" spans="1:24" ht="15" customHeight="1" x14ac:dyDescent="0.25">
      <c r="A6" s="56" t="s">
        <v>4</v>
      </c>
      <c r="B6" s="1390" t="s">
        <v>3</v>
      </c>
      <c r="C6" s="1391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</row>
    <row r="7" spans="1:24" ht="15" customHeight="1" x14ac:dyDescent="0.25">
      <c r="A7" s="56" t="s">
        <v>6</v>
      </c>
      <c r="B7" s="1390" t="s">
        <v>5</v>
      </c>
      <c r="C7" s="1391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</row>
    <row r="8" spans="1:24" ht="27" customHeight="1" x14ac:dyDescent="0.25">
      <c r="A8" s="56" t="s">
        <v>8</v>
      </c>
      <c r="B8" s="1390" t="s">
        <v>7</v>
      </c>
      <c r="C8" s="1391"/>
      <c r="D8" s="890"/>
      <c r="E8" s="890"/>
      <c r="F8" s="890"/>
      <c r="G8" s="890"/>
      <c r="H8" s="890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</row>
    <row r="9" spans="1:24" ht="15" customHeight="1" x14ac:dyDescent="0.25">
      <c r="A9" s="56" t="s">
        <v>10</v>
      </c>
      <c r="B9" s="1390" t="s">
        <v>9</v>
      </c>
      <c r="C9" s="1391"/>
      <c r="D9" s="890"/>
      <c r="E9" s="890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</row>
    <row r="10" spans="1:24" ht="15" customHeight="1" x14ac:dyDescent="0.25">
      <c r="A10" s="56" t="s">
        <v>12</v>
      </c>
      <c r="B10" s="1390" t="s">
        <v>11</v>
      </c>
      <c r="C10" s="1391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890"/>
      <c r="X10" s="890"/>
    </row>
    <row r="11" spans="1:24" ht="15" customHeight="1" x14ac:dyDescent="0.25">
      <c r="A11" s="56" t="s">
        <v>14</v>
      </c>
      <c r="B11" s="1390" t="s">
        <v>13</v>
      </c>
      <c r="C11" s="1391"/>
      <c r="D11" s="890"/>
      <c r="E11" s="890"/>
      <c r="F11" s="890"/>
      <c r="G11" s="890"/>
      <c r="H11" s="890"/>
      <c r="I11" s="890"/>
      <c r="J11" s="890"/>
      <c r="K11" s="890"/>
      <c r="L11" s="890"/>
      <c r="M11" s="890"/>
      <c r="N11" s="890"/>
      <c r="O11" s="890"/>
      <c r="P11" s="890"/>
      <c r="Q11" s="890"/>
      <c r="R11" s="890"/>
      <c r="S11" s="890"/>
      <c r="T11" s="890"/>
      <c r="U11" s="890"/>
      <c r="V11" s="890"/>
      <c r="W11" s="890"/>
      <c r="X11" s="890"/>
    </row>
    <row r="12" spans="1:24" ht="15" customHeight="1" x14ac:dyDescent="0.25">
      <c r="A12" s="56" t="s">
        <v>16</v>
      </c>
      <c r="B12" s="1390" t="s">
        <v>15</v>
      </c>
      <c r="C12" s="1391"/>
      <c r="D12" s="890"/>
      <c r="E12" s="890"/>
      <c r="F12" s="890"/>
      <c r="G12" s="890"/>
      <c r="H12" s="890"/>
      <c r="I12" s="890"/>
      <c r="J12" s="890"/>
      <c r="K12" s="890"/>
      <c r="L12" s="890"/>
      <c r="M12" s="890"/>
      <c r="N12" s="890"/>
      <c r="O12" s="890"/>
      <c r="P12" s="890"/>
      <c r="Q12" s="890"/>
      <c r="R12" s="890"/>
      <c r="S12" s="890"/>
      <c r="T12" s="890"/>
      <c r="U12" s="890"/>
      <c r="V12" s="890"/>
      <c r="W12" s="890"/>
      <c r="X12" s="890"/>
    </row>
    <row r="13" spans="1:24" ht="15" customHeight="1" x14ac:dyDescent="0.25">
      <c r="A13" s="56" t="s">
        <v>18</v>
      </c>
      <c r="B13" s="1390" t="s">
        <v>17</v>
      </c>
      <c r="C13" s="1391"/>
      <c r="D13" s="890"/>
      <c r="E13" s="890"/>
      <c r="F13" s="890"/>
      <c r="G13" s="890"/>
      <c r="H13" s="890"/>
      <c r="I13" s="890"/>
      <c r="J13" s="890"/>
      <c r="K13" s="890"/>
      <c r="L13" s="890"/>
      <c r="M13" s="890"/>
      <c r="N13" s="890"/>
      <c r="O13" s="890"/>
      <c r="P13" s="890"/>
      <c r="Q13" s="890"/>
      <c r="R13" s="890"/>
      <c r="S13" s="890"/>
      <c r="T13" s="890"/>
      <c r="U13" s="890"/>
      <c r="V13" s="890"/>
      <c r="W13" s="890"/>
      <c r="X13" s="890"/>
    </row>
    <row r="14" spans="1:24" ht="15" customHeight="1" x14ac:dyDescent="0.25">
      <c r="A14" s="56" t="s">
        <v>20</v>
      </c>
      <c r="B14" s="1390" t="s">
        <v>19</v>
      </c>
      <c r="C14" s="1391"/>
      <c r="D14" s="890"/>
      <c r="E14" s="890"/>
      <c r="F14" s="890"/>
      <c r="G14" s="890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90"/>
      <c r="S14" s="890"/>
      <c r="T14" s="890"/>
      <c r="U14" s="890"/>
      <c r="V14" s="890"/>
      <c r="W14" s="890"/>
      <c r="X14" s="890"/>
    </row>
    <row r="15" spans="1:24" ht="15" customHeight="1" x14ac:dyDescent="0.25">
      <c r="A15" s="56" t="s">
        <v>22</v>
      </c>
      <c r="B15" s="1390" t="s">
        <v>21</v>
      </c>
      <c r="C15" s="1391"/>
      <c r="D15" s="890"/>
      <c r="E15" s="890"/>
      <c r="F15" s="890"/>
      <c r="G15" s="890"/>
      <c r="H15" s="890"/>
      <c r="I15" s="890"/>
      <c r="J15" s="890"/>
      <c r="K15" s="890"/>
      <c r="L15" s="890"/>
      <c r="M15" s="890"/>
      <c r="N15" s="890"/>
      <c r="O15" s="890"/>
      <c r="P15" s="890"/>
      <c r="Q15" s="890"/>
      <c r="R15" s="890"/>
      <c r="S15" s="890"/>
      <c r="T15" s="890"/>
      <c r="U15" s="890"/>
      <c r="V15" s="890"/>
      <c r="W15" s="890"/>
      <c r="X15" s="890"/>
    </row>
    <row r="16" spans="1:24" ht="15" customHeight="1" x14ac:dyDescent="0.25">
      <c r="A16" s="56" t="s">
        <v>24</v>
      </c>
      <c r="B16" s="1390" t="s">
        <v>23</v>
      </c>
      <c r="C16" s="1391"/>
      <c r="D16" s="890"/>
      <c r="E16" s="890"/>
      <c r="F16" s="890"/>
      <c r="G16" s="890"/>
      <c r="H16" s="890"/>
      <c r="I16" s="890"/>
      <c r="J16" s="890"/>
      <c r="K16" s="890"/>
      <c r="L16" s="890"/>
      <c r="M16" s="890"/>
      <c r="N16" s="890"/>
      <c r="O16" s="890"/>
      <c r="P16" s="890"/>
      <c r="Q16" s="890"/>
      <c r="R16" s="890"/>
      <c r="S16" s="890"/>
      <c r="T16" s="890"/>
      <c r="U16" s="890"/>
      <c r="V16" s="890"/>
      <c r="W16" s="890"/>
      <c r="X16" s="890"/>
    </row>
    <row r="17" spans="1:24" ht="23.25" customHeight="1" x14ac:dyDescent="0.25">
      <c r="A17" s="56" t="s">
        <v>25</v>
      </c>
      <c r="B17" s="1390" t="s">
        <v>175</v>
      </c>
      <c r="C17" s="1391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0"/>
      <c r="T17" s="890"/>
      <c r="U17" s="890"/>
      <c r="V17" s="890"/>
      <c r="W17" s="890"/>
      <c r="X17" s="890"/>
    </row>
    <row r="18" spans="1:24" ht="15" customHeight="1" x14ac:dyDescent="0.25">
      <c r="A18" s="56" t="s">
        <v>25</v>
      </c>
      <c r="B18" s="1390" t="s">
        <v>26</v>
      </c>
      <c r="C18" s="1391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</row>
    <row r="19" spans="1:24" s="892" customFormat="1" ht="15" customHeight="1" x14ac:dyDescent="0.25">
      <c r="A19" s="57" t="s">
        <v>27</v>
      </c>
      <c r="B19" s="1373" t="s">
        <v>416</v>
      </c>
      <c r="C19" s="1375"/>
      <c r="D19" s="891"/>
      <c r="E19" s="891"/>
      <c r="F19" s="891"/>
      <c r="G19" s="891"/>
      <c r="H19" s="891"/>
      <c r="I19" s="891"/>
      <c r="J19" s="891"/>
      <c r="K19" s="891"/>
      <c r="L19" s="891"/>
      <c r="M19" s="891"/>
      <c r="N19" s="891"/>
      <c r="O19" s="891"/>
      <c r="P19" s="891"/>
      <c r="Q19" s="891"/>
      <c r="R19" s="891"/>
      <c r="S19" s="891"/>
      <c r="T19" s="891"/>
      <c r="U19" s="891"/>
      <c r="V19" s="891"/>
      <c r="W19" s="891"/>
      <c r="X19" s="891"/>
    </row>
    <row r="20" spans="1:24" ht="15" customHeight="1" x14ac:dyDescent="0.25">
      <c r="A20" s="56" t="s">
        <v>29</v>
      </c>
      <c r="B20" s="1390" t="s">
        <v>28</v>
      </c>
      <c r="C20" s="1391"/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</row>
    <row r="21" spans="1:24" ht="40.5" customHeight="1" x14ac:dyDescent="0.25">
      <c r="A21" s="56" t="s">
        <v>629</v>
      </c>
      <c r="B21" s="1390" t="s">
        <v>30</v>
      </c>
      <c r="C21" s="1391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890"/>
      <c r="S21" s="890"/>
      <c r="T21" s="890"/>
      <c r="U21" s="890"/>
      <c r="V21" s="890"/>
      <c r="W21" s="890"/>
      <c r="X21" s="890"/>
    </row>
    <row r="22" spans="1:24" ht="15" customHeight="1" x14ac:dyDescent="0.25">
      <c r="A22" s="56" t="s">
        <v>32</v>
      </c>
      <c r="B22" s="1390" t="s">
        <v>31</v>
      </c>
      <c r="C22" s="1391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0"/>
      <c r="Q22" s="890"/>
      <c r="R22" s="890"/>
      <c r="S22" s="890"/>
      <c r="T22" s="890"/>
      <c r="U22" s="890"/>
      <c r="V22" s="890"/>
      <c r="W22" s="890"/>
      <c r="X22" s="890"/>
    </row>
    <row r="23" spans="1:24" s="892" customFormat="1" ht="15" customHeight="1" x14ac:dyDescent="0.25">
      <c r="A23" s="57" t="s">
        <v>33</v>
      </c>
      <c r="B23" s="1373" t="s">
        <v>417</v>
      </c>
      <c r="C23" s="1375"/>
      <c r="D23" s="891"/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91"/>
      <c r="P23" s="891"/>
      <c r="Q23" s="891"/>
      <c r="R23" s="891"/>
      <c r="S23" s="891"/>
      <c r="T23" s="891"/>
      <c r="U23" s="891"/>
      <c r="V23" s="891"/>
      <c r="W23" s="891"/>
      <c r="X23" s="890"/>
    </row>
    <row r="24" spans="1:24" s="892" customFormat="1" ht="15" customHeight="1" x14ac:dyDescent="0.25">
      <c r="A24" s="57" t="s">
        <v>34</v>
      </c>
      <c r="B24" s="1373" t="s">
        <v>418</v>
      </c>
      <c r="C24" s="1375"/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</row>
    <row r="25" spans="1:24" x14ac:dyDescent="0.25">
      <c r="A25" s="893"/>
      <c r="B25" s="894"/>
      <c r="C25" s="894"/>
      <c r="D25" s="895"/>
      <c r="E25" s="895"/>
      <c r="F25" s="896"/>
      <c r="G25" s="897"/>
      <c r="H25" s="895"/>
      <c r="I25" s="896"/>
      <c r="J25" s="897"/>
      <c r="K25" s="895"/>
      <c r="L25" s="896"/>
      <c r="M25" s="897"/>
      <c r="N25" s="895"/>
      <c r="O25" s="896"/>
      <c r="P25" s="895"/>
      <c r="Q25" s="895"/>
      <c r="R25" s="895"/>
      <c r="S25" s="897"/>
      <c r="T25" s="895"/>
      <c r="U25" s="896"/>
      <c r="V25" s="897"/>
      <c r="W25" s="895"/>
      <c r="X25" s="896"/>
    </row>
    <row r="26" spans="1:24" s="892" customFormat="1" ht="26.25" customHeight="1" x14ac:dyDescent="0.25">
      <c r="A26" s="57" t="s">
        <v>35</v>
      </c>
      <c r="B26" s="1373" t="s">
        <v>419</v>
      </c>
      <c r="C26" s="1375"/>
      <c r="D26" s="108"/>
      <c r="E26" s="890"/>
      <c r="F26" s="890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ht="25.5" customHeight="1" x14ac:dyDescent="0.25">
      <c r="A27" s="82" t="s">
        <v>35</v>
      </c>
      <c r="B27" s="898"/>
      <c r="C27" s="899" t="s">
        <v>36</v>
      </c>
      <c r="D27" s="873"/>
      <c r="E27" s="890"/>
      <c r="F27" s="890"/>
      <c r="G27" s="873"/>
      <c r="H27" s="873"/>
      <c r="I27" s="890"/>
      <c r="J27" s="873"/>
      <c r="K27" s="873"/>
      <c r="L27" s="890"/>
      <c r="M27" s="873"/>
      <c r="N27" s="873"/>
      <c r="O27" s="890"/>
      <c r="P27" s="873"/>
      <c r="Q27" s="873"/>
      <c r="R27" s="890"/>
      <c r="S27" s="873"/>
      <c r="T27" s="873"/>
      <c r="U27" s="890"/>
      <c r="V27" s="873"/>
      <c r="W27" s="873"/>
      <c r="X27" s="890"/>
    </row>
    <row r="28" spans="1:24" ht="25.5" customHeight="1" x14ac:dyDescent="0.25">
      <c r="A28" s="82" t="s">
        <v>35</v>
      </c>
      <c r="B28" s="898"/>
      <c r="C28" s="899" t="s">
        <v>37</v>
      </c>
      <c r="D28" s="873"/>
      <c r="E28" s="890"/>
      <c r="F28" s="890"/>
      <c r="G28" s="873"/>
      <c r="H28" s="873"/>
      <c r="I28" s="890"/>
      <c r="J28" s="873"/>
      <c r="K28" s="873"/>
      <c r="L28" s="890"/>
      <c r="M28" s="873"/>
      <c r="N28" s="873"/>
      <c r="O28" s="890"/>
      <c r="P28" s="873"/>
      <c r="Q28" s="873"/>
      <c r="R28" s="890"/>
      <c r="S28" s="873"/>
      <c r="T28" s="873"/>
      <c r="U28" s="890"/>
      <c r="V28" s="873"/>
      <c r="W28" s="873"/>
      <c r="X28" s="890"/>
    </row>
    <row r="29" spans="1:24" ht="25.5" customHeight="1" x14ac:dyDescent="0.25">
      <c r="A29" s="82" t="s">
        <v>35</v>
      </c>
      <c r="B29" s="898"/>
      <c r="C29" s="899" t="s">
        <v>38</v>
      </c>
      <c r="D29" s="873"/>
      <c r="E29" s="890"/>
      <c r="F29" s="890"/>
      <c r="G29" s="873"/>
      <c r="H29" s="873"/>
      <c r="I29" s="890"/>
      <c r="J29" s="873"/>
      <c r="K29" s="873"/>
      <c r="L29" s="890"/>
      <c r="M29" s="873"/>
      <c r="N29" s="873"/>
      <c r="O29" s="890"/>
      <c r="P29" s="873"/>
      <c r="Q29" s="873"/>
      <c r="R29" s="890"/>
      <c r="S29" s="873"/>
      <c r="T29" s="873"/>
      <c r="U29" s="890"/>
      <c r="V29" s="873"/>
      <c r="W29" s="873"/>
      <c r="X29" s="890"/>
    </row>
    <row r="30" spans="1:24" ht="25.5" customHeight="1" x14ac:dyDescent="0.25">
      <c r="A30" s="82" t="s">
        <v>35</v>
      </c>
      <c r="B30" s="898"/>
      <c r="C30" s="899" t="s">
        <v>420</v>
      </c>
      <c r="D30" s="873"/>
      <c r="E30" s="890"/>
      <c r="F30" s="890"/>
      <c r="G30" s="873"/>
      <c r="H30" s="873"/>
      <c r="I30" s="890"/>
      <c r="J30" s="873"/>
      <c r="K30" s="873"/>
      <c r="L30" s="890"/>
      <c r="M30" s="873"/>
      <c r="N30" s="873"/>
      <c r="O30" s="890"/>
      <c r="P30" s="873"/>
      <c r="Q30" s="873"/>
      <c r="R30" s="890"/>
      <c r="S30" s="873"/>
      <c r="T30" s="873"/>
      <c r="U30" s="890"/>
      <c r="V30" s="873"/>
      <c r="W30" s="873"/>
      <c r="X30" s="890"/>
    </row>
    <row r="31" spans="1:24" ht="25.5" x14ac:dyDescent="0.25">
      <c r="A31" s="82" t="s">
        <v>35</v>
      </c>
      <c r="B31" s="898"/>
      <c r="C31" s="899" t="s">
        <v>40</v>
      </c>
      <c r="D31" s="873"/>
      <c r="E31" s="890"/>
      <c r="F31" s="890"/>
      <c r="G31" s="873"/>
      <c r="H31" s="873"/>
      <c r="I31" s="890"/>
      <c r="J31" s="873"/>
      <c r="K31" s="873"/>
      <c r="L31" s="890"/>
      <c r="M31" s="873"/>
      <c r="N31" s="873"/>
      <c r="O31" s="890"/>
      <c r="P31" s="873"/>
      <c r="Q31" s="873"/>
      <c r="R31" s="890"/>
      <c r="S31" s="873"/>
      <c r="T31" s="873"/>
      <c r="U31" s="890"/>
      <c r="V31" s="873"/>
      <c r="W31" s="873"/>
      <c r="X31" s="890"/>
    </row>
    <row r="32" spans="1:24" ht="9" customHeight="1" x14ac:dyDescent="0.25">
      <c r="A32" s="900"/>
      <c r="B32" s="901"/>
      <c r="C32" s="902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890"/>
    </row>
    <row r="33" spans="1:24" ht="15" customHeight="1" x14ac:dyDescent="0.25">
      <c r="A33" s="56" t="s">
        <v>42</v>
      </c>
      <c r="B33" s="1390" t="s">
        <v>41</v>
      </c>
      <c r="C33" s="1391"/>
      <c r="D33" s="873"/>
      <c r="E33" s="890"/>
      <c r="F33" s="890"/>
      <c r="G33" s="873"/>
      <c r="H33" s="873"/>
      <c r="I33" s="890"/>
      <c r="J33" s="873"/>
      <c r="K33" s="873"/>
      <c r="L33" s="890"/>
      <c r="M33" s="873"/>
      <c r="N33" s="873"/>
      <c r="O33" s="890"/>
      <c r="P33" s="873"/>
      <c r="Q33" s="873"/>
      <c r="R33" s="890"/>
      <c r="S33" s="873"/>
      <c r="T33" s="873"/>
      <c r="U33" s="890"/>
      <c r="V33" s="873"/>
      <c r="W33" s="873"/>
      <c r="X33" s="890"/>
    </row>
    <row r="34" spans="1:24" ht="15" customHeight="1" x14ac:dyDescent="0.25">
      <c r="A34" s="56" t="s">
        <v>44</v>
      </c>
      <c r="B34" s="1390" t="s">
        <v>43</v>
      </c>
      <c r="C34" s="1391"/>
      <c r="D34" s="873"/>
      <c r="E34" s="890"/>
      <c r="F34" s="890"/>
      <c r="G34" s="873"/>
      <c r="H34" s="873"/>
      <c r="I34" s="890"/>
      <c r="J34" s="873"/>
      <c r="K34" s="873"/>
      <c r="L34" s="890"/>
      <c r="M34" s="873"/>
      <c r="N34" s="873"/>
      <c r="O34" s="890"/>
      <c r="P34" s="873"/>
      <c r="Q34" s="873"/>
      <c r="R34" s="890"/>
      <c r="S34" s="873"/>
      <c r="T34" s="873"/>
      <c r="U34" s="890"/>
      <c r="V34" s="873"/>
      <c r="W34" s="873"/>
      <c r="X34" s="890"/>
    </row>
    <row r="35" spans="1:24" ht="15" customHeight="1" x14ac:dyDescent="0.25">
      <c r="A35" s="56" t="s">
        <v>46</v>
      </c>
      <c r="B35" s="1390" t="s">
        <v>45</v>
      </c>
      <c r="C35" s="1391"/>
      <c r="D35" s="873"/>
      <c r="E35" s="890"/>
      <c r="F35" s="890"/>
      <c r="G35" s="873"/>
      <c r="H35" s="873"/>
      <c r="I35" s="890"/>
      <c r="J35" s="873"/>
      <c r="K35" s="873"/>
      <c r="L35" s="890"/>
      <c r="M35" s="873"/>
      <c r="N35" s="873"/>
      <c r="O35" s="890"/>
      <c r="P35" s="873"/>
      <c r="Q35" s="873"/>
      <c r="R35" s="890"/>
      <c r="S35" s="873"/>
      <c r="T35" s="873"/>
      <c r="U35" s="890"/>
      <c r="V35" s="873"/>
      <c r="W35" s="873"/>
      <c r="X35" s="890"/>
    </row>
    <row r="36" spans="1:24" s="892" customFormat="1" ht="15" customHeight="1" x14ac:dyDescent="0.25">
      <c r="A36" s="57" t="s">
        <v>47</v>
      </c>
      <c r="B36" s="1373" t="s">
        <v>421</v>
      </c>
      <c r="C36" s="137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spans="1:24" ht="15" customHeight="1" x14ac:dyDescent="0.25">
      <c r="A37" s="56" t="s">
        <v>49</v>
      </c>
      <c r="B37" s="1390" t="s">
        <v>48</v>
      </c>
      <c r="C37" s="1391"/>
      <c r="D37" s="873"/>
      <c r="E37" s="890"/>
      <c r="F37" s="890"/>
      <c r="G37" s="873"/>
      <c r="H37" s="873"/>
      <c r="I37" s="890"/>
      <c r="J37" s="873"/>
      <c r="K37" s="873"/>
      <c r="L37" s="890"/>
      <c r="M37" s="873"/>
      <c r="N37" s="873"/>
      <c r="O37" s="890"/>
      <c r="P37" s="873"/>
      <c r="Q37" s="873"/>
      <c r="R37" s="890"/>
      <c r="S37" s="873"/>
      <c r="T37" s="873"/>
      <c r="U37" s="890"/>
      <c r="V37" s="873"/>
      <c r="W37" s="873"/>
      <c r="X37" s="890"/>
    </row>
    <row r="38" spans="1:24" ht="15" customHeight="1" x14ac:dyDescent="0.25">
      <c r="A38" s="56" t="s">
        <v>51</v>
      </c>
      <c r="B38" s="1390" t="s">
        <v>50</v>
      </c>
      <c r="C38" s="1391"/>
      <c r="D38" s="873"/>
      <c r="E38" s="890"/>
      <c r="F38" s="890"/>
      <c r="G38" s="873"/>
      <c r="H38" s="873"/>
      <c r="I38" s="890"/>
      <c r="J38" s="873"/>
      <c r="K38" s="873"/>
      <c r="L38" s="890"/>
      <c r="M38" s="873"/>
      <c r="N38" s="873"/>
      <c r="O38" s="890"/>
      <c r="P38" s="873"/>
      <c r="Q38" s="873"/>
      <c r="R38" s="890"/>
      <c r="S38" s="873"/>
      <c r="T38" s="873"/>
      <c r="U38" s="890"/>
      <c r="V38" s="873"/>
      <c r="W38" s="873"/>
      <c r="X38" s="890"/>
    </row>
    <row r="39" spans="1:24" s="892" customFormat="1" ht="15" customHeight="1" x14ac:dyDescent="0.25">
      <c r="A39" s="57" t="s">
        <v>52</v>
      </c>
      <c r="B39" s="1373" t="s">
        <v>422</v>
      </c>
      <c r="C39" s="1375"/>
      <c r="D39" s="873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ht="15" customHeight="1" x14ac:dyDescent="0.25">
      <c r="A40" s="56" t="s">
        <v>54</v>
      </c>
      <c r="B40" s="1390" t="s">
        <v>53</v>
      </c>
      <c r="C40" s="1391"/>
      <c r="D40" s="873"/>
      <c r="E40" s="890"/>
      <c r="F40" s="890"/>
      <c r="G40" s="873"/>
      <c r="H40" s="873"/>
      <c r="I40" s="890"/>
      <c r="J40" s="873"/>
      <c r="K40" s="873"/>
      <c r="L40" s="890"/>
      <c r="M40" s="873"/>
      <c r="N40" s="873"/>
      <c r="O40" s="890"/>
      <c r="P40" s="873"/>
      <c r="Q40" s="873"/>
      <c r="R40" s="890"/>
      <c r="S40" s="873"/>
      <c r="T40" s="873"/>
      <c r="U40" s="890"/>
      <c r="V40" s="873"/>
      <c r="W40" s="873"/>
      <c r="X40" s="890"/>
    </row>
    <row r="41" spans="1:24" ht="15" customHeight="1" x14ac:dyDescent="0.25">
      <c r="A41" s="56" t="s">
        <v>56</v>
      </c>
      <c r="B41" s="1390" t="s">
        <v>55</v>
      </c>
      <c r="C41" s="1391"/>
      <c r="D41" s="873"/>
      <c r="E41" s="890"/>
      <c r="F41" s="890"/>
      <c r="G41" s="873"/>
      <c r="H41" s="873"/>
      <c r="I41" s="890"/>
      <c r="J41" s="873"/>
      <c r="K41" s="873"/>
      <c r="L41" s="890"/>
      <c r="M41" s="873"/>
      <c r="N41" s="873"/>
      <c r="O41" s="890"/>
      <c r="P41" s="873"/>
      <c r="Q41" s="873"/>
      <c r="R41" s="890"/>
      <c r="S41" s="873"/>
      <c r="T41" s="873"/>
      <c r="U41" s="890"/>
      <c r="V41" s="873"/>
      <c r="W41" s="873"/>
      <c r="X41" s="890"/>
    </row>
    <row r="42" spans="1:24" ht="15" customHeight="1" x14ac:dyDescent="0.25">
      <c r="A42" s="56" t="s">
        <v>57</v>
      </c>
      <c r="B42" s="1390" t="s">
        <v>423</v>
      </c>
      <c r="C42" s="1391"/>
      <c r="D42" s="873"/>
      <c r="E42" s="890"/>
      <c r="F42" s="890"/>
      <c r="G42" s="873"/>
      <c r="H42" s="873"/>
      <c r="I42" s="890"/>
      <c r="J42" s="873"/>
      <c r="K42" s="873"/>
      <c r="L42" s="890"/>
      <c r="M42" s="873"/>
      <c r="N42" s="873"/>
      <c r="O42" s="890"/>
      <c r="P42" s="873"/>
      <c r="Q42" s="873"/>
      <c r="R42" s="890"/>
      <c r="S42" s="873"/>
      <c r="T42" s="873"/>
      <c r="U42" s="890"/>
      <c r="V42" s="873"/>
      <c r="W42" s="873"/>
      <c r="X42" s="890"/>
    </row>
    <row r="43" spans="1:24" ht="15" customHeight="1" x14ac:dyDescent="0.25">
      <c r="A43" s="56" t="s">
        <v>59</v>
      </c>
      <c r="B43" s="1390" t="s">
        <v>58</v>
      </c>
      <c r="C43" s="1391"/>
      <c r="D43" s="873"/>
      <c r="E43" s="890"/>
      <c r="F43" s="890"/>
      <c r="G43" s="873"/>
      <c r="H43" s="873"/>
      <c r="I43" s="890"/>
      <c r="J43" s="873"/>
      <c r="K43" s="873"/>
      <c r="L43" s="890"/>
      <c r="M43" s="873"/>
      <c r="N43" s="873"/>
      <c r="O43" s="890"/>
      <c r="P43" s="873"/>
      <c r="Q43" s="873"/>
      <c r="R43" s="890"/>
      <c r="S43" s="873"/>
      <c r="T43" s="873"/>
      <c r="U43" s="890"/>
      <c r="V43" s="873"/>
      <c r="W43" s="873"/>
      <c r="X43" s="890"/>
    </row>
    <row r="44" spans="1:24" ht="15" customHeight="1" x14ac:dyDescent="0.25">
      <c r="A44" s="56" t="s">
        <v>60</v>
      </c>
      <c r="B44" s="1390" t="s">
        <v>166</v>
      </c>
      <c r="C44" s="1391"/>
      <c r="D44" s="873"/>
      <c r="E44" s="890"/>
      <c r="F44" s="890"/>
      <c r="G44" s="873"/>
      <c r="H44" s="873"/>
      <c r="I44" s="890"/>
      <c r="J44" s="873"/>
      <c r="K44" s="873"/>
      <c r="L44" s="890"/>
      <c r="M44" s="873"/>
      <c r="N44" s="873"/>
      <c r="O44" s="890"/>
      <c r="P44" s="873"/>
      <c r="Q44" s="873"/>
      <c r="R44" s="890"/>
      <c r="S44" s="873"/>
      <c r="T44" s="873"/>
      <c r="U44" s="890"/>
      <c r="V44" s="873"/>
      <c r="W44" s="873"/>
      <c r="X44" s="890"/>
    </row>
    <row r="45" spans="1:24" ht="25.5" customHeight="1" x14ac:dyDescent="0.25">
      <c r="A45" s="82" t="s">
        <v>60</v>
      </c>
      <c r="B45" s="898"/>
      <c r="C45" s="899" t="s">
        <v>61</v>
      </c>
      <c r="D45" s="873"/>
      <c r="E45" s="890"/>
      <c r="F45" s="890"/>
      <c r="G45" s="873"/>
      <c r="H45" s="873"/>
      <c r="I45" s="890"/>
      <c r="J45" s="873"/>
      <c r="K45" s="873"/>
      <c r="L45" s="890"/>
      <c r="M45" s="873"/>
      <c r="N45" s="873"/>
      <c r="O45" s="890"/>
      <c r="P45" s="873"/>
      <c r="Q45" s="873"/>
      <c r="R45" s="890"/>
      <c r="S45" s="873"/>
      <c r="T45" s="873"/>
      <c r="U45" s="890"/>
      <c r="V45" s="873"/>
      <c r="W45" s="873"/>
      <c r="X45" s="890"/>
    </row>
    <row r="46" spans="1:24" ht="25.5" customHeight="1" x14ac:dyDescent="0.25">
      <c r="A46" s="82" t="s">
        <v>60</v>
      </c>
      <c r="B46" s="898"/>
      <c r="C46" s="899" t="s">
        <v>168</v>
      </c>
      <c r="D46" s="873"/>
      <c r="E46" s="890"/>
      <c r="F46" s="890"/>
      <c r="G46" s="873"/>
      <c r="H46" s="873"/>
      <c r="I46" s="890"/>
      <c r="J46" s="873"/>
      <c r="K46" s="873"/>
      <c r="L46" s="890"/>
      <c r="M46" s="873"/>
      <c r="N46" s="873"/>
      <c r="O46" s="890"/>
      <c r="P46" s="873"/>
      <c r="Q46" s="873"/>
      <c r="R46" s="890"/>
      <c r="S46" s="873"/>
      <c r="T46" s="873"/>
      <c r="U46" s="890"/>
      <c r="V46" s="873"/>
      <c r="W46" s="873"/>
      <c r="X46" s="890"/>
    </row>
    <row r="47" spans="1:24" ht="22.5" customHeight="1" x14ac:dyDescent="0.25">
      <c r="A47" s="56" t="s">
        <v>63</v>
      </c>
      <c r="B47" s="1390" t="s">
        <v>424</v>
      </c>
      <c r="C47" s="1391"/>
      <c r="D47" s="873"/>
      <c r="E47" s="890"/>
      <c r="F47" s="890"/>
      <c r="G47" s="873"/>
      <c r="H47" s="873"/>
      <c r="I47" s="890"/>
      <c r="J47" s="873"/>
      <c r="K47" s="873"/>
      <c r="L47" s="890"/>
      <c r="M47" s="873"/>
      <c r="N47" s="873"/>
      <c r="O47" s="890"/>
      <c r="P47" s="873"/>
      <c r="Q47" s="873"/>
      <c r="R47" s="890"/>
      <c r="S47" s="873"/>
      <c r="T47" s="873"/>
      <c r="U47" s="890"/>
      <c r="V47" s="873"/>
      <c r="W47" s="873"/>
      <c r="X47" s="890"/>
    </row>
    <row r="48" spans="1:24" ht="15" customHeight="1" x14ac:dyDescent="0.25">
      <c r="A48" s="56" t="s">
        <v>65</v>
      </c>
      <c r="B48" s="1390" t="s">
        <v>425</v>
      </c>
      <c r="C48" s="1391"/>
      <c r="D48" s="873"/>
      <c r="E48" s="890"/>
      <c r="F48" s="890"/>
      <c r="G48" s="873"/>
      <c r="H48" s="873"/>
      <c r="I48" s="890"/>
      <c r="J48" s="873"/>
      <c r="K48" s="873"/>
      <c r="L48" s="890"/>
      <c r="M48" s="873"/>
      <c r="N48" s="873"/>
      <c r="O48" s="890"/>
      <c r="P48" s="873"/>
      <c r="Q48" s="873"/>
      <c r="R48" s="890"/>
      <c r="S48" s="873"/>
      <c r="T48" s="873"/>
      <c r="U48" s="890"/>
      <c r="V48" s="873"/>
      <c r="W48" s="873"/>
      <c r="X48" s="890"/>
    </row>
    <row r="49" spans="1:24" s="892" customFormat="1" ht="15" customHeight="1" x14ac:dyDescent="0.25">
      <c r="A49" s="57" t="s">
        <v>66</v>
      </c>
      <c r="B49" s="1373" t="s">
        <v>426</v>
      </c>
      <c r="C49" s="137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</row>
    <row r="50" spans="1:24" ht="15" customHeight="1" x14ac:dyDescent="0.25">
      <c r="A50" s="56" t="s">
        <v>68</v>
      </c>
      <c r="B50" s="1390" t="s">
        <v>67</v>
      </c>
      <c r="C50" s="1391"/>
      <c r="D50" s="873"/>
      <c r="E50" s="890"/>
      <c r="F50" s="890"/>
      <c r="G50" s="873"/>
      <c r="H50" s="873"/>
      <c r="I50" s="890"/>
      <c r="J50" s="873"/>
      <c r="K50" s="873"/>
      <c r="L50" s="890"/>
      <c r="M50" s="873"/>
      <c r="N50" s="873"/>
      <c r="O50" s="890"/>
      <c r="P50" s="873"/>
      <c r="Q50" s="873"/>
      <c r="R50" s="890"/>
      <c r="S50" s="873"/>
      <c r="T50" s="873"/>
      <c r="U50" s="890"/>
      <c r="V50" s="873"/>
      <c r="W50" s="873"/>
      <c r="X50" s="890"/>
    </row>
    <row r="51" spans="1:24" ht="15" customHeight="1" x14ac:dyDescent="0.25">
      <c r="A51" s="56" t="s">
        <v>70</v>
      </c>
      <c r="B51" s="1390" t="s">
        <v>69</v>
      </c>
      <c r="C51" s="1391"/>
      <c r="D51" s="873"/>
      <c r="E51" s="890"/>
      <c r="F51" s="890"/>
      <c r="G51" s="873"/>
      <c r="H51" s="873"/>
      <c r="I51" s="890"/>
      <c r="J51" s="873"/>
      <c r="K51" s="873"/>
      <c r="L51" s="890"/>
      <c r="M51" s="873"/>
      <c r="N51" s="873"/>
      <c r="O51" s="890"/>
      <c r="P51" s="873"/>
      <c r="Q51" s="873"/>
      <c r="R51" s="890"/>
      <c r="S51" s="873"/>
      <c r="T51" s="873"/>
      <c r="U51" s="890"/>
      <c r="V51" s="873"/>
      <c r="W51" s="873"/>
      <c r="X51" s="890"/>
    </row>
    <row r="52" spans="1:24" s="892" customFormat="1" ht="30.75" customHeight="1" x14ac:dyDescent="0.25">
      <c r="A52" s="57" t="s">
        <v>71</v>
      </c>
      <c r="B52" s="1373" t="s">
        <v>155</v>
      </c>
      <c r="C52" s="1375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</row>
    <row r="53" spans="1:24" ht="36.75" customHeight="1" x14ac:dyDescent="0.25">
      <c r="A53" s="56" t="s">
        <v>73</v>
      </c>
      <c r="B53" s="1390" t="s">
        <v>72</v>
      </c>
      <c r="C53" s="1391"/>
      <c r="D53" s="876"/>
      <c r="E53" s="890"/>
      <c r="F53" s="890"/>
      <c r="G53" s="876"/>
      <c r="H53" s="873"/>
      <c r="I53" s="890"/>
      <c r="J53" s="876"/>
      <c r="K53" s="873"/>
      <c r="L53" s="890"/>
      <c r="M53" s="876"/>
      <c r="N53" s="873"/>
      <c r="O53" s="890"/>
      <c r="P53" s="876"/>
      <c r="Q53" s="873"/>
      <c r="R53" s="890"/>
      <c r="S53" s="876"/>
      <c r="T53" s="873"/>
      <c r="U53" s="890"/>
      <c r="V53" s="876"/>
      <c r="W53" s="873"/>
      <c r="X53" s="890"/>
    </row>
    <row r="54" spans="1:24" ht="15" customHeight="1" x14ac:dyDescent="0.25">
      <c r="A54" s="56" t="s">
        <v>75</v>
      </c>
      <c r="B54" s="1390" t="s">
        <v>427</v>
      </c>
      <c r="C54" s="1391"/>
      <c r="D54" s="876"/>
      <c r="E54" s="890"/>
      <c r="F54" s="890"/>
      <c r="G54" s="873"/>
      <c r="H54" s="873"/>
      <c r="I54" s="890"/>
      <c r="J54" s="873"/>
      <c r="K54" s="873"/>
      <c r="L54" s="890"/>
      <c r="M54" s="873"/>
      <c r="N54" s="873"/>
      <c r="O54" s="890"/>
      <c r="P54" s="873"/>
      <c r="Q54" s="873"/>
      <c r="R54" s="890"/>
      <c r="S54" s="873"/>
      <c r="T54" s="873"/>
      <c r="U54" s="890"/>
      <c r="V54" s="873"/>
      <c r="W54" s="873"/>
      <c r="X54" s="890"/>
    </row>
    <row r="55" spans="1:24" ht="15" customHeight="1" x14ac:dyDescent="0.25">
      <c r="A55" s="56" t="s">
        <v>76</v>
      </c>
      <c r="B55" s="1390" t="s">
        <v>428</v>
      </c>
      <c r="C55" s="1391"/>
      <c r="D55" s="876"/>
      <c r="E55" s="890"/>
      <c r="F55" s="890"/>
      <c r="G55" s="873"/>
      <c r="H55" s="873"/>
      <c r="I55" s="890"/>
      <c r="J55" s="873"/>
      <c r="K55" s="873"/>
      <c r="L55" s="890"/>
      <c r="M55" s="873"/>
      <c r="N55" s="873"/>
      <c r="O55" s="890"/>
      <c r="P55" s="873"/>
      <c r="Q55" s="873"/>
      <c r="R55" s="890"/>
      <c r="S55" s="873"/>
      <c r="T55" s="873"/>
      <c r="U55" s="890"/>
      <c r="V55" s="873"/>
      <c r="W55" s="873"/>
      <c r="X55" s="890"/>
    </row>
    <row r="56" spans="1:24" ht="15" customHeight="1" x14ac:dyDescent="0.25">
      <c r="A56" s="56" t="s">
        <v>77</v>
      </c>
      <c r="B56" s="1390" t="s">
        <v>429</v>
      </c>
      <c r="C56" s="1391"/>
      <c r="D56" s="876"/>
      <c r="E56" s="890"/>
      <c r="F56" s="890"/>
      <c r="G56" s="873"/>
      <c r="H56" s="873"/>
      <c r="I56" s="890"/>
      <c r="J56" s="873"/>
      <c r="K56" s="873"/>
      <c r="L56" s="890"/>
      <c r="M56" s="873"/>
      <c r="N56" s="873"/>
      <c r="O56" s="890"/>
      <c r="P56" s="873"/>
      <c r="Q56" s="873"/>
      <c r="R56" s="890"/>
      <c r="S56" s="873"/>
      <c r="T56" s="873"/>
      <c r="U56" s="890"/>
      <c r="V56" s="873"/>
      <c r="W56" s="873"/>
      <c r="X56" s="890"/>
    </row>
    <row r="57" spans="1:24" ht="15" customHeight="1" x14ac:dyDescent="0.25">
      <c r="A57" s="56" t="s">
        <v>79</v>
      </c>
      <c r="B57" s="1390" t="s">
        <v>78</v>
      </c>
      <c r="C57" s="1391"/>
      <c r="D57" s="876"/>
      <c r="E57" s="890"/>
      <c r="F57" s="890"/>
      <c r="G57" s="873"/>
      <c r="H57" s="873"/>
      <c r="I57" s="890"/>
      <c r="J57" s="873"/>
      <c r="K57" s="873"/>
      <c r="L57" s="890"/>
      <c r="M57" s="873"/>
      <c r="N57" s="873"/>
      <c r="O57" s="890"/>
      <c r="P57" s="873"/>
      <c r="Q57" s="873"/>
      <c r="R57" s="890"/>
      <c r="S57" s="873"/>
      <c r="T57" s="873"/>
      <c r="U57" s="890"/>
      <c r="V57" s="873"/>
      <c r="W57" s="873"/>
      <c r="X57" s="890"/>
    </row>
    <row r="58" spans="1:24" ht="28.5" customHeight="1" x14ac:dyDescent="0.25">
      <c r="A58" s="57" t="s">
        <v>80</v>
      </c>
      <c r="B58" s="1373" t="s">
        <v>152</v>
      </c>
      <c r="C58" s="1375"/>
      <c r="D58" s="904"/>
      <c r="E58" s="108"/>
      <c r="F58" s="108"/>
      <c r="G58" s="904"/>
      <c r="H58" s="108"/>
      <c r="I58" s="108"/>
      <c r="J58" s="904"/>
      <c r="K58" s="108"/>
      <c r="L58" s="108"/>
      <c r="M58" s="904"/>
      <c r="N58" s="108"/>
      <c r="O58" s="108"/>
      <c r="P58" s="904"/>
      <c r="Q58" s="108"/>
      <c r="R58" s="108"/>
      <c r="S58" s="904"/>
      <c r="T58" s="108"/>
      <c r="U58" s="108"/>
      <c r="V58" s="108"/>
      <c r="W58" s="108"/>
      <c r="X58" s="108"/>
    </row>
    <row r="59" spans="1:24" ht="15" customHeight="1" x14ac:dyDescent="0.25">
      <c r="A59" s="57" t="s">
        <v>81</v>
      </c>
      <c r="B59" s="1373" t="s">
        <v>340</v>
      </c>
      <c r="C59" s="1375"/>
      <c r="D59" s="904"/>
      <c r="E59" s="108"/>
      <c r="F59" s="108"/>
      <c r="G59" s="904"/>
      <c r="H59" s="108"/>
      <c r="I59" s="108"/>
      <c r="J59" s="904"/>
      <c r="K59" s="108"/>
      <c r="L59" s="108"/>
      <c r="M59" s="904"/>
      <c r="N59" s="108"/>
      <c r="O59" s="108"/>
      <c r="P59" s="904"/>
      <c r="Q59" s="108"/>
      <c r="R59" s="108"/>
      <c r="S59" s="904"/>
      <c r="T59" s="108"/>
      <c r="U59" s="108"/>
      <c r="V59" s="108"/>
      <c r="W59" s="108"/>
      <c r="X59" s="108"/>
    </row>
    <row r="60" spans="1:24" x14ac:dyDescent="0.25">
      <c r="A60" s="893"/>
      <c r="B60" s="1374"/>
      <c r="C60" s="1374"/>
      <c r="D60" s="895"/>
      <c r="E60" s="895"/>
      <c r="F60" s="896"/>
      <c r="G60" s="897"/>
      <c r="H60" s="895"/>
      <c r="I60" s="896"/>
      <c r="J60" s="897"/>
      <c r="K60" s="895"/>
      <c r="L60" s="896"/>
      <c r="M60" s="897"/>
      <c r="N60" s="895"/>
      <c r="O60" s="896"/>
      <c r="P60" s="895"/>
      <c r="Q60" s="895"/>
      <c r="R60" s="895"/>
      <c r="S60" s="897"/>
      <c r="T60" s="895"/>
      <c r="U60" s="896"/>
      <c r="V60" s="897"/>
      <c r="W60" s="895"/>
      <c r="X60" s="896"/>
    </row>
    <row r="61" spans="1:24" ht="24" customHeight="1" x14ac:dyDescent="0.25">
      <c r="A61" s="56" t="s">
        <v>107</v>
      </c>
      <c r="B61" s="1390" t="s">
        <v>164</v>
      </c>
      <c r="C61" s="1391"/>
      <c r="D61" s="873"/>
      <c r="E61" s="890"/>
      <c r="F61" s="890"/>
      <c r="G61" s="905"/>
      <c r="H61" s="905"/>
      <c r="I61" s="890"/>
      <c r="J61" s="905"/>
      <c r="K61" s="905"/>
      <c r="L61" s="890"/>
      <c r="M61" s="905"/>
      <c r="N61" s="905"/>
      <c r="O61" s="890"/>
      <c r="P61" s="905"/>
      <c r="Q61" s="905"/>
      <c r="R61" s="890"/>
      <c r="S61" s="905"/>
      <c r="T61" s="890"/>
      <c r="U61" s="890"/>
      <c r="V61" s="905"/>
      <c r="W61" s="890"/>
      <c r="X61" s="890"/>
    </row>
    <row r="62" spans="1:24" ht="38.25" customHeight="1" x14ac:dyDescent="0.25">
      <c r="A62" s="326" t="s">
        <v>107</v>
      </c>
      <c r="B62" s="898"/>
      <c r="C62" s="906" t="s">
        <v>104</v>
      </c>
      <c r="D62" s="873"/>
      <c r="E62" s="890"/>
      <c r="F62" s="890"/>
      <c r="G62" s="905"/>
      <c r="H62" s="905"/>
      <c r="I62" s="890"/>
      <c r="J62" s="905"/>
      <c r="K62" s="905"/>
      <c r="L62" s="890"/>
      <c r="M62" s="905"/>
      <c r="N62" s="905"/>
      <c r="O62" s="890"/>
      <c r="P62" s="905"/>
      <c r="Q62" s="905"/>
      <c r="R62" s="890"/>
      <c r="S62" s="905"/>
      <c r="T62" s="890"/>
      <c r="U62" s="890"/>
      <c r="V62" s="905"/>
      <c r="W62" s="890"/>
      <c r="X62" s="890"/>
    </row>
    <row r="63" spans="1:24" ht="15" customHeight="1" x14ac:dyDescent="0.25">
      <c r="A63" s="57" t="s">
        <v>108</v>
      </c>
      <c r="B63" s="1373" t="s">
        <v>163</v>
      </c>
      <c r="C63" s="1375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</row>
    <row r="64" spans="1:24" ht="27.75" customHeight="1" x14ac:dyDescent="0.25">
      <c r="A64" s="907"/>
      <c r="B64" s="908"/>
      <c r="C64" s="908"/>
      <c r="D64" s="909"/>
      <c r="E64" s="909"/>
      <c r="F64" s="909"/>
      <c r="G64" s="909"/>
      <c r="H64" s="909"/>
      <c r="I64" s="909"/>
      <c r="J64" s="909"/>
      <c r="K64" s="909"/>
      <c r="L64" s="909"/>
      <c r="M64" s="909"/>
      <c r="N64" s="909"/>
      <c r="O64" s="909"/>
      <c r="P64" s="909"/>
      <c r="Q64" s="909"/>
      <c r="R64" s="909"/>
      <c r="S64" s="909"/>
      <c r="T64" s="909"/>
      <c r="U64" s="909"/>
      <c r="V64" s="909"/>
      <c r="W64" s="909"/>
      <c r="X64" s="909"/>
    </row>
    <row r="65" spans="1:24" ht="21.75" customHeight="1" x14ac:dyDescent="0.25">
      <c r="A65" s="910"/>
      <c r="B65" s="911"/>
      <c r="C65" s="911"/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903"/>
      <c r="W65" s="903"/>
      <c r="X65" s="903"/>
    </row>
    <row r="66" spans="1:24" ht="27.75" customHeight="1" x14ac:dyDescent="0.25">
      <c r="A66" s="56" t="s">
        <v>110</v>
      </c>
      <c r="B66" s="1390" t="s">
        <v>109</v>
      </c>
      <c r="C66" s="1391"/>
      <c r="D66" s="873"/>
      <c r="E66" s="873"/>
      <c r="F66" s="873"/>
      <c r="G66" s="873"/>
      <c r="H66" s="873"/>
      <c r="I66" s="873"/>
      <c r="J66" s="873"/>
      <c r="K66" s="873"/>
      <c r="L66" s="873"/>
      <c r="M66" s="873"/>
      <c r="N66" s="873"/>
      <c r="O66" s="873"/>
      <c r="P66" s="873"/>
      <c r="Q66" s="873"/>
      <c r="R66" s="873"/>
      <c r="S66" s="873"/>
      <c r="T66" s="873"/>
      <c r="U66" s="873"/>
      <c r="V66" s="873"/>
      <c r="W66" s="873"/>
      <c r="X66" s="873"/>
    </row>
    <row r="67" spans="1:24" ht="15" customHeight="1" x14ac:dyDescent="0.25">
      <c r="A67" s="56" t="s">
        <v>111</v>
      </c>
      <c r="B67" s="1390" t="s">
        <v>430</v>
      </c>
      <c r="C67" s="1391"/>
      <c r="D67" s="873"/>
      <c r="E67" s="873"/>
      <c r="F67" s="873"/>
      <c r="G67" s="873"/>
      <c r="H67" s="873"/>
      <c r="I67" s="873"/>
      <c r="J67" s="873"/>
      <c r="K67" s="873"/>
      <c r="L67" s="873"/>
      <c r="M67" s="873"/>
      <c r="N67" s="873"/>
      <c r="O67" s="873"/>
      <c r="P67" s="873"/>
      <c r="Q67" s="873"/>
      <c r="R67" s="873"/>
      <c r="S67" s="873"/>
      <c r="T67" s="873"/>
      <c r="U67" s="873"/>
      <c r="V67" s="873"/>
      <c r="W67" s="873"/>
      <c r="X67" s="873"/>
    </row>
    <row r="68" spans="1:24" ht="25.5" customHeight="1" x14ac:dyDescent="0.25">
      <c r="A68" s="82" t="s">
        <v>111</v>
      </c>
      <c r="B68" s="898"/>
      <c r="C68" s="906" t="s">
        <v>112</v>
      </c>
      <c r="D68" s="873"/>
      <c r="E68" s="873"/>
      <c r="F68" s="873"/>
      <c r="G68" s="873"/>
      <c r="H68" s="873"/>
      <c r="I68" s="873"/>
      <c r="J68" s="873"/>
      <c r="K68" s="873"/>
      <c r="L68" s="873"/>
      <c r="M68" s="873"/>
      <c r="N68" s="873"/>
      <c r="O68" s="873"/>
      <c r="P68" s="873"/>
      <c r="Q68" s="873"/>
      <c r="R68" s="873"/>
      <c r="S68" s="873"/>
      <c r="T68" s="873"/>
      <c r="U68" s="873"/>
      <c r="V68" s="873"/>
      <c r="W68" s="873"/>
      <c r="X68" s="873"/>
    </row>
    <row r="69" spans="1:24" ht="30.75" customHeight="1" x14ac:dyDescent="0.25">
      <c r="A69" s="56" t="s">
        <v>114</v>
      </c>
      <c r="B69" s="1390" t="s">
        <v>113</v>
      </c>
      <c r="C69" s="1391"/>
      <c r="D69" s="873"/>
      <c r="E69" s="873"/>
      <c r="F69" s="873"/>
      <c r="G69" s="873"/>
      <c r="H69" s="873"/>
      <c r="I69" s="873"/>
      <c r="J69" s="873"/>
      <c r="K69" s="873"/>
      <c r="L69" s="873"/>
      <c r="M69" s="873"/>
      <c r="N69" s="873"/>
      <c r="O69" s="873"/>
      <c r="P69" s="873"/>
      <c r="Q69" s="873"/>
      <c r="R69" s="873"/>
      <c r="S69" s="873"/>
      <c r="T69" s="873"/>
      <c r="U69" s="873"/>
      <c r="V69" s="873"/>
      <c r="W69" s="873"/>
      <c r="X69" s="873"/>
    </row>
    <row r="70" spans="1:24" ht="28.5" customHeight="1" x14ac:dyDescent="0.25">
      <c r="A70" s="56" t="s">
        <v>116</v>
      </c>
      <c r="B70" s="1390" t="s">
        <v>115</v>
      </c>
      <c r="C70" s="1391"/>
      <c r="D70" s="873"/>
      <c r="E70" s="873"/>
      <c r="F70" s="873"/>
      <c r="G70" s="873"/>
      <c r="H70" s="873"/>
      <c r="I70" s="873"/>
      <c r="J70" s="873"/>
      <c r="K70" s="873"/>
      <c r="L70" s="873"/>
      <c r="M70" s="873"/>
      <c r="N70" s="873"/>
      <c r="O70" s="873"/>
      <c r="P70" s="873"/>
      <c r="Q70" s="873"/>
      <c r="R70" s="873"/>
      <c r="S70" s="873"/>
      <c r="T70" s="873"/>
      <c r="U70" s="873"/>
      <c r="V70" s="873"/>
      <c r="W70" s="873"/>
      <c r="X70" s="873"/>
    </row>
    <row r="71" spans="1:24" ht="15" customHeight="1" x14ac:dyDescent="0.25">
      <c r="A71" s="56" t="s">
        <v>118</v>
      </c>
      <c r="B71" s="1390" t="s">
        <v>117</v>
      </c>
      <c r="C71" s="1391"/>
      <c r="D71" s="873"/>
      <c r="E71" s="873"/>
      <c r="F71" s="873"/>
      <c r="G71" s="873"/>
      <c r="H71" s="873"/>
      <c r="I71" s="873"/>
      <c r="J71" s="873"/>
      <c r="K71" s="873"/>
      <c r="L71" s="873"/>
      <c r="M71" s="873"/>
      <c r="N71" s="873"/>
      <c r="O71" s="873"/>
      <c r="P71" s="873"/>
      <c r="Q71" s="873"/>
      <c r="R71" s="873"/>
      <c r="S71" s="873"/>
      <c r="T71" s="873"/>
      <c r="U71" s="873"/>
      <c r="V71" s="873"/>
      <c r="W71" s="873"/>
      <c r="X71" s="873"/>
    </row>
    <row r="72" spans="1:24" ht="27.75" customHeight="1" x14ac:dyDescent="0.25">
      <c r="A72" s="56" t="s">
        <v>120</v>
      </c>
      <c r="B72" s="1390" t="s">
        <v>119</v>
      </c>
      <c r="C72" s="1391"/>
      <c r="D72" s="873"/>
      <c r="E72" s="873"/>
      <c r="F72" s="873"/>
      <c r="G72" s="873"/>
      <c r="H72" s="873"/>
      <c r="I72" s="873"/>
      <c r="J72" s="873"/>
      <c r="K72" s="873"/>
      <c r="L72" s="873"/>
      <c r="M72" s="873"/>
      <c r="N72" s="873"/>
      <c r="O72" s="873"/>
      <c r="P72" s="873"/>
      <c r="Q72" s="873"/>
      <c r="R72" s="873"/>
      <c r="S72" s="873"/>
      <c r="T72" s="873"/>
      <c r="U72" s="873"/>
      <c r="V72" s="873"/>
      <c r="W72" s="873"/>
      <c r="X72" s="873"/>
    </row>
    <row r="73" spans="1:24" ht="36.75" customHeight="1" x14ac:dyDescent="0.25">
      <c r="A73" s="56" t="s">
        <v>122</v>
      </c>
      <c r="B73" s="1390" t="s">
        <v>121</v>
      </c>
      <c r="C73" s="1391"/>
      <c r="D73" s="873"/>
      <c r="E73" s="873"/>
      <c r="F73" s="873"/>
      <c r="G73" s="873"/>
      <c r="H73" s="873"/>
      <c r="I73" s="873"/>
      <c r="J73" s="873"/>
      <c r="K73" s="873"/>
      <c r="L73" s="873"/>
      <c r="M73" s="873"/>
      <c r="N73" s="873"/>
      <c r="O73" s="873"/>
      <c r="P73" s="873"/>
      <c r="Q73" s="873"/>
      <c r="R73" s="873"/>
      <c r="S73" s="873"/>
      <c r="T73" s="873"/>
      <c r="U73" s="873"/>
      <c r="V73" s="873"/>
      <c r="W73" s="873"/>
      <c r="X73" s="873"/>
    </row>
    <row r="74" spans="1:24" ht="15" customHeight="1" x14ac:dyDescent="0.25">
      <c r="A74" s="57" t="s">
        <v>123</v>
      </c>
      <c r="B74" s="1373" t="s">
        <v>161</v>
      </c>
      <c r="C74" s="1375"/>
      <c r="D74" s="873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</row>
    <row r="75" spans="1:24" s="912" customFormat="1" x14ac:dyDescent="0.25">
      <c r="A75" s="893"/>
      <c r="B75" s="894"/>
      <c r="C75" s="894"/>
      <c r="D75" s="873"/>
      <c r="E75" s="895"/>
      <c r="F75" s="895"/>
      <c r="G75" s="895"/>
      <c r="H75" s="895"/>
      <c r="I75" s="895"/>
      <c r="J75" s="895"/>
      <c r="K75" s="895"/>
      <c r="L75" s="895"/>
      <c r="M75" s="895"/>
      <c r="N75" s="895"/>
      <c r="O75" s="895"/>
      <c r="P75" s="895"/>
      <c r="Q75" s="895"/>
      <c r="R75" s="895"/>
      <c r="S75" s="895"/>
      <c r="T75" s="895"/>
      <c r="U75" s="895"/>
      <c r="V75" s="895"/>
      <c r="W75" s="895"/>
      <c r="X75" s="895"/>
    </row>
    <row r="76" spans="1:24" ht="15" hidden="1" customHeight="1" x14ac:dyDescent="0.25">
      <c r="A76" s="56" t="s">
        <v>125</v>
      </c>
      <c r="B76" s="1390" t="s">
        <v>124</v>
      </c>
      <c r="C76" s="1391"/>
      <c r="D76" s="873"/>
      <c r="E76" s="873"/>
      <c r="F76" s="873"/>
      <c r="G76" s="873"/>
      <c r="H76" s="873"/>
      <c r="I76" s="873"/>
      <c r="J76" s="873"/>
      <c r="K76" s="873"/>
      <c r="L76" s="873"/>
      <c r="M76" s="873"/>
      <c r="N76" s="873"/>
      <c r="O76" s="873"/>
      <c r="P76" s="873"/>
      <c r="Q76" s="873"/>
      <c r="R76" s="873"/>
      <c r="S76" s="873"/>
      <c r="T76" s="873"/>
      <c r="U76" s="873"/>
      <c r="V76" s="873"/>
      <c r="W76" s="873"/>
      <c r="X76" s="873"/>
    </row>
    <row r="77" spans="1:24" ht="15" hidden="1" customHeight="1" x14ac:dyDescent="0.25">
      <c r="A77" s="56" t="s">
        <v>127</v>
      </c>
      <c r="B77" s="1390" t="s">
        <v>126</v>
      </c>
      <c r="C77" s="1391"/>
      <c r="D77" s="873"/>
      <c r="E77" s="873"/>
      <c r="F77" s="873"/>
      <c r="G77" s="873"/>
      <c r="H77" s="873"/>
      <c r="I77" s="873"/>
      <c r="J77" s="873"/>
      <c r="K77" s="873"/>
      <c r="L77" s="873"/>
      <c r="M77" s="873"/>
      <c r="N77" s="873"/>
      <c r="O77" s="873"/>
      <c r="P77" s="873"/>
      <c r="Q77" s="873"/>
      <c r="R77" s="873"/>
      <c r="S77" s="873"/>
      <c r="T77" s="873"/>
      <c r="U77" s="873"/>
      <c r="V77" s="873"/>
      <c r="W77" s="873"/>
      <c r="X77" s="873"/>
    </row>
    <row r="78" spans="1:24" ht="15" hidden="1" customHeight="1" x14ac:dyDescent="0.25">
      <c r="A78" s="56" t="s">
        <v>129</v>
      </c>
      <c r="B78" s="1390" t="s">
        <v>431</v>
      </c>
      <c r="C78" s="1391"/>
      <c r="D78" s="873"/>
      <c r="E78" s="873"/>
      <c r="F78" s="873"/>
      <c r="G78" s="873"/>
      <c r="H78" s="873"/>
      <c r="I78" s="873"/>
      <c r="J78" s="873"/>
      <c r="K78" s="873"/>
      <c r="L78" s="873"/>
      <c r="M78" s="873"/>
      <c r="N78" s="873"/>
      <c r="O78" s="873"/>
      <c r="P78" s="873"/>
      <c r="Q78" s="873"/>
      <c r="R78" s="873"/>
      <c r="S78" s="873"/>
      <c r="T78" s="873"/>
      <c r="U78" s="873"/>
      <c r="V78" s="873"/>
      <c r="W78" s="873"/>
      <c r="X78" s="873"/>
    </row>
    <row r="79" spans="1:24" ht="23.25" hidden="1" customHeight="1" x14ac:dyDescent="0.25">
      <c r="A79" s="56" t="s">
        <v>131</v>
      </c>
      <c r="B79" s="1390" t="s">
        <v>130</v>
      </c>
      <c r="C79" s="1391"/>
      <c r="D79" s="873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</row>
    <row r="80" spans="1:24" ht="15" customHeight="1" x14ac:dyDescent="0.25">
      <c r="A80" s="57" t="s">
        <v>132</v>
      </c>
      <c r="B80" s="1373" t="s">
        <v>311</v>
      </c>
      <c r="C80" s="1375"/>
      <c r="D80" s="873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</row>
    <row r="81" spans="1:24" s="912" customFormat="1" x14ac:dyDescent="0.25">
      <c r="A81" s="893"/>
      <c r="B81" s="894"/>
      <c r="C81" s="894"/>
      <c r="D81" s="895"/>
      <c r="E81" s="895"/>
      <c r="F81" s="895"/>
      <c r="G81" s="895"/>
      <c r="H81" s="895"/>
      <c r="I81" s="895"/>
      <c r="J81" s="895"/>
      <c r="K81" s="895"/>
      <c r="L81" s="895"/>
      <c r="M81" s="895"/>
      <c r="N81" s="895"/>
      <c r="O81" s="895"/>
      <c r="P81" s="895"/>
      <c r="Q81" s="895"/>
      <c r="R81" s="895"/>
      <c r="S81" s="895"/>
      <c r="T81" s="895"/>
      <c r="U81" s="895"/>
      <c r="V81" s="895"/>
      <c r="W81" s="895"/>
      <c r="X81" s="895"/>
    </row>
    <row r="82" spans="1:24" ht="15" customHeight="1" x14ac:dyDescent="0.25">
      <c r="A82" s="57" t="s">
        <v>134</v>
      </c>
      <c r="B82" s="1373" t="s">
        <v>158</v>
      </c>
      <c r="C82" s="1375"/>
      <c r="D82" s="873"/>
      <c r="E82" s="873"/>
      <c r="F82" s="873"/>
      <c r="G82" s="873"/>
      <c r="H82" s="873"/>
      <c r="I82" s="873"/>
      <c r="J82" s="873"/>
      <c r="K82" s="873"/>
      <c r="L82" s="873"/>
      <c r="M82" s="873"/>
      <c r="N82" s="873"/>
      <c r="O82" s="873"/>
      <c r="P82" s="873"/>
      <c r="Q82" s="873"/>
      <c r="R82" s="873"/>
      <c r="S82" s="873"/>
      <c r="T82" s="873"/>
      <c r="U82" s="873"/>
      <c r="V82" s="873"/>
      <c r="W82" s="873"/>
      <c r="X82" s="873"/>
    </row>
    <row r="83" spans="1:24" s="912" customFormat="1" ht="15.75" thickBot="1" x14ac:dyDescent="0.3">
      <c r="A83" s="893"/>
      <c r="B83" s="894"/>
      <c r="C83" s="894"/>
      <c r="D83" s="895"/>
      <c r="E83" s="895"/>
      <c r="F83" s="895"/>
      <c r="G83" s="895"/>
      <c r="H83" s="895"/>
      <c r="I83" s="895"/>
      <c r="J83" s="895"/>
      <c r="K83" s="895"/>
      <c r="L83" s="895"/>
      <c r="M83" s="895"/>
      <c r="N83" s="895"/>
      <c r="O83" s="895"/>
      <c r="P83" s="895"/>
      <c r="Q83" s="895"/>
      <c r="R83" s="895"/>
      <c r="S83" s="895"/>
      <c r="T83" s="895"/>
      <c r="U83" s="895"/>
      <c r="V83" s="895"/>
      <c r="W83" s="895"/>
      <c r="X83" s="895"/>
    </row>
    <row r="84" spans="1:24" ht="15.75" customHeight="1" thickBot="1" x14ac:dyDescent="0.3">
      <c r="A84" s="913" t="s">
        <v>135</v>
      </c>
      <c r="B84" s="1433" t="s">
        <v>432</v>
      </c>
      <c r="C84" s="1434"/>
      <c r="D84" s="914"/>
      <c r="E84" s="914"/>
      <c r="F84" s="914"/>
      <c r="G84" s="914"/>
      <c r="H84" s="915"/>
      <c r="I84" s="915"/>
      <c r="J84" s="914"/>
      <c r="K84" s="915"/>
      <c r="L84" s="915"/>
      <c r="M84" s="914"/>
      <c r="N84" s="915"/>
      <c r="O84" s="915"/>
      <c r="P84" s="914"/>
      <c r="Q84" s="915"/>
      <c r="R84" s="915"/>
      <c r="S84" s="914"/>
      <c r="T84" s="915"/>
      <c r="U84" s="915"/>
      <c r="V84" s="914"/>
      <c r="W84" s="915"/>
      <c r="X84" s="915"/>
    </row>
    <row r="85" spans="1:24" x14ac:dyDescent="0.25">
      <c r="D85" s="917"/>
    </row>
    <row r="86" spans="1:24" x14ac:dyDescent="0.25">
      <c r="D86" s="917"/>
      <c r="G86" s="917"/>
      <c r="J86" s="917"/>
      <c r="M86" s="917"/>
      <c r="P86" s="917"/>
      <c r="S86" s="917"/>
      <c r="V86" s="917"/>
    </row>
  </sheetData>
  <mergeCells count="79">
    <mergeCell ref="B58:C58"/>
    <mergeCell ref="B59:C59"/>
    <mergeCell ref="B50:C50"/>
    <mergeCell ref="B53:C53"/>
    <mergeCell ref="B54:C54"/>
    <mergeCell ref="B52:C52"/>
    <mergeCell ref="B51:C51"/>
    <mergeCell ref="B57:C57"/>
    <mergeCell ref="S2:U2"/>
    <mergeCell ref="V2:X2"/>
    <mergeCell ref="G3:I3"/>
    <mergeCell ref="J3:L3"/>
    <mergeCell ref="M3:O3"/>
    <mergeCell ref="P3:R3"/>
    <mergeCell ref="S3:U3"/>
    <mergeCell ref="V3:X3"/>
    <mergeCell ref="G2:I2"/>
    <mergeCell ref="J2:L2"/>
    <mergeCell ref="M2:O2"/>
    <mergeCell ref="P2:R2"/>
    <mergeCell ref="B5:C5"/>
    <mergeCell ref="B14:C14"/>
    <mergeCell ref="B15:C15"/>
    <mergeCell ref="B44:C44"/>
    <mergeCell ref="B48:C48"/>
    <mergeCell ref="B16:C16"/>
    <mergeCell ref="B12:C12"/>
    <mergeCell ref="B13:C13"/>
    <mergeCell ref="B10:C10"/>
    <mergeCell ref="B11:C11"/>
    <mergeCell ref="B9:C9"/>
    <mergeCell ref="B49:C49"/>
    <mergeCell ref="B24:C24"/>
    <mergeCell ref="B17:C17"/>
    <mergeCell ref="B18:C18"/>
    <mergeCell ref="B19:C19"/>
    <mergeCell ref="B20:C20"/>
    <mergeCell ref="B33:C33"/>
    <mergeCell ref="B47:C47"/>
    <mergeCell ref="B41:C41"/>
    <mergeCell ref="B42:C42"/>
    <mergeCell ref="B43:C43"/>
    <mergeCell ref="B21:C21"/>
    <mergeCell ref="B23:C23"/>
    <mergeCell ref="B40:C40"/>
    <mergeCell ref="B77:C77"/>
    <mergeCell ref="B76:C76"/>
    <mergeCell ref="B69:C69"/>
    <mergeCell ref="B84:C84"/>
    <mergeCell ref="B79:C79"/>
    <mergeCell ref="B80:C80"/>
    <mergeCell ref="B82:C82"/>
    <mergeCell ref="B73:C73"/>
    <mergeCell ref="B74:C74"/>
    <mergeCell ref="B78:C78"/>
    <mergeCell ref="B60:C60"/>
    <mergeCell ref="B72:C72"/>
    <mergeCell ref="B63:C63"/>
    <mergeCell ref="B61:C61"/>
    <mergeCell ref="B66:C66"/>
    <mergeCell ref="B67:C67"/>
    <mergeCell ref="B71:C71"/>
    <mergeCell ref="B70:C70"/>
    <mergeCell ref="A2:A4"/>
    <mergeCell ref="D2:F3"/>
    <mergeCell ref="B2:C4"/>
    <mergeCell ref="B55:C55"/>
    <mergeCell ref="B56:C56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2" manualBreakCount="2">
    <brk id="31" max="16383" man="1"/>
    <brk id="64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zoomScaleNormal="100" workbookViewId="0">
      <selection activeCell="E112" sqref="E112"/>
    </sheetView>
  </sheetViews>
  <sheetFormatPr defaultColWidth="9.140625" defaultRowHeight="12.75" x14ac:dyDescent="0.25"/>
  <cols>
    <col min="1" max="1" width="6.85546875" style="139" customWidth="1"/>
    <col min="2" max="2" width="50.140625" style="139" customWidth="1"/>
    <col min="3" max="3" width="13" style="139" customWidth="1"/>
    <col min="4" max="4" width="9.5703125" style="141" bestFit="1" customWidth="1"/>
    <col min="5" max="5" width="10.42578125" style="141" customWidth="1"/>
    <col min="6" max="16384" width="9.140625" style="139"/>
  </cols>
  <sheetData>
    <row r="1" spans="1:6" ht="14.25" customHeight="1" thickBot="1" x14ac:dyDescent="0.25">
      <c r="B1" s="140"/>
      <c r="D1" s="1439" t="s">
        <v>383</v>
      </c>
      <c r="E1" s="1439"/>
      <c r="F1" s="55"/>
    </row>
    <row r="2" spans="1:6" s="140" customFormat="1" ht="39" thickBot="1" x14ac:dyDescent="0.3">
      <c r="A2" s="522" t="s">
        <v>345</v>
      </c>
      <c r="B2" s="523" t="s">
        <v>346</v>
      </c>
      <c r="C2" s="523" t="s">
        <v>914</v>
      </c>
      <c r="D2" s="523" t="s">
        <v>684</v>
      </c>
      <c r="E2" s="523" t="s">
        <v>938</v>
      </c>
    </row>
    <row r="3" spans="1:6" ht="12.75" customHeight="1" x14ac:dyDescent="0.25">
      <c r="A3" s="510">
        <v>1</v>
      </c>
      <c r="B3" s="520"/>
      <c r="C3" s="521"/>
      <c r="D3" s="521"/>
      <c r="E3" s="521"/>
    </row>
    <row r="4" spans="1:6" s="142" customFormat="1" ht="12.75" customHeight="1" x14ac:dyDescent="0.25">
      <c r="A4" s="510">
        <v>2</v>
      </c>
      <c r="B4" s="137" t="s">
        <v>415</v>
      </c>
      <c r="C4" s="138"/>
      <c r="D4" s="138"/>
      <c r="E4" s="138"/>
    </row>
    <row r="5" spans="1:6" s="142" customFormat="1" ht="12.75" customHeight="1" x14ac:dyDescent="0.25">
      <c r="A5" s="510">
        <v>3</v>
      </c>
      <c r="B5" s="137"/>
      <c r="C5" s="138"/>
      <c r="D5" s="138"/>
      <c r="E5" s="138"/>
    </row>
    <row r="6" spans="1:6" s="142" customFormat="1" ht="12.75" customHeight="1" x14ac:dyDescent="0.25">
      <c r="A6" s="510">
        <v>4</v>
      </c>
      <c r="B6" s="96" t="s">
        <v>677</v>
      </c>
      <c r="C6" s="95">
        <v>34660</v>
      </c>
      <c r="D6" s="95"/>
      <c r="E6" s="95">
        <f>C6+D6</f>
        <v>34660</v>
      </c>
    </row>
    <row r="7" spans="1:6" s="142" customFormat="1" ht="12.75" customHeight="1" x14ac:dyDescent="0.25">
      <c r="A7" s="510">
        <v>5</v>
      </c>
      <c r="B7" s="96" t="s">
        <v>678</v>
      </c>
      <c r="C7" s="95">
        <v>850</v>
      </c>
      <c r="D7" s="95"/>
      <c r="E7" s="95">
        <f t="shared" ref="E7:E15" si="0">C7+D7</f>
        <v>850</v>
      </c>
    </row>
    <row r="8" spans="1:6" s="142" customFormat="1" ht="12.75" customHeight="1" x14ac:dyDescent="0.25">
      <c r="A8" s="510">
        <v>6</v>
      </c>
      <c r="B8" s="96" t="s">
        <v>771</v>
      </c>
      <c r="C8" s="95">
        <v>1647</v>
      </c>
      <c r="D8" s="95"/>
      <c r="E8" s="95">
        <f t="shared" si="0"/>
        <v>1647</v>
      </c>
    </row>
    <row r="9" spans="1:6" s="142" customFormat="1" ht="12.75" customHeight="1" x14ac:dyDescent="0.25">
      <c r="A9" s="510">
        <v>7</v>
      </c>
      <c r="B9" s="96" t="s">
        <v>772</v>
      </c>
      <c r="C9" s="95"/>
      <c r="D9" s="95"/>
      <c r="E9" s="95">
        <f t="shared" si="0"/>
        <v>0</v>
      </c>
    </row>
    <row r="10" spans="1:6" s="142" customFormat="1" ht="12.75" customHeight="1" x14ac:dyDescent="0.25">
      <c r="A10" s="510">
        <v>8</v>
      </c>
      <c r="B10" s="96" t="s">
        <v>773</v>
      </c>
      <c r="C10" s="95"/>
      <c r="D10" s="95"/>
      <c r="E10" s="95">
        <f t="shared" si="0"/>
        <v>0</v>
      </c>
    </row>
    <row r="11" spans="1:6" s="142" customFormat="1" ht="12.75" customHeight="1" x14ac:dyDescent="0.25">
      <c r="A11" s="510">
        <v>9</v>
      </c>
      <c r="B11" s="96" t="s">
        <v>774</v>
      </c>
      <c r="C11" s="95">
        <v>168</v>
      </c>
      <c r="D11" s="95"/>
      <c r="E11" s="95">
        <f t="shared" si="0"/>
        <v>168</v>
      </c>
    </row>
    <row r="12" spans="1:6" ht="12.75" customHeight="1" x14ac:dyDescent="0.25">
      <c r="A12" s="510">
        <v>10</v>
      </c>
      <c r="B12" s="94" t="s">
        <v>741</v>
      </c>
      <c r="C12" s="95">
        <v>13054</v>
      </c>
      <c r="D12" s="99"/>
      <c r="E12" s="95">
        <f t="shared" si="0"/>
        <v>13054</v>
      </c>
    </row>
    <row r="13" spans="1:6" ht="12.75" customHeight="1" x14ac:dyDescent="0.25">
      <c r="A13" s="510">
        <v>11</v>
      </c>
      <c r="B13" s="94" t="s">
        <v>775</v>
      </c>
      <c r="C13" s="95">
        <v>0</v>
      </c>
      <c r="D13" s="99"/>
      <c r="E13" s="95">
        <f t="shared" si="0"/>
        <v>0</v>
      </c>
    </row>
    <row r="14" spans="1:6" ht="12.75" customHeight="1" x14ac:dyDescent="0.25">
      <c r="A14" s="510">
        <v>12</v>
      </c>
      <c r="B14" s="94" t="s">
        <v>790</v>
      </c>
      <c r="C14" s="95"/>
      <c r="D14" s="99"/>
      <c r="E14" s="95"/>
    </row>
    <row r="15" spans="1:6" ht="12.75" customHeight="1" x14ac:dyDescent="0.25">
      <c r="A15" s="510">
        <v>13</v>
      </c>
      <c r="B15" s="94" t="s">
        <v>868</v>
      </c>
      <c r="C15" s="95">
        <v>175347</v>
      </c>
      <c r="D15" s="99"/>
      <c r="E15" s="95">
        <f t="shared" si="0"/>
        <v>175347</v>
      </c>
    </row>
    <row r="16" spans="1:6" ht="12.75" customHeight="1" x14ac:dyDescent="0.25">
      <c r="A16" s="510">
        <v>14</v>
      </c>
      <c r="B16" s="94"/>
      <c r="C16" s="95"/>
      <c r="D16" s="99"/>
      <c r="E16" s="99"/>
    </row>
    <row r="17" spans="1:5" s="142" customFormat="1" ht="12.75" customHeight="1" x14ac:dyDescent="0.25">
      <c r="A17" s="510">
        <v>15</v>
      </c>
      <c r="B17" s="143" t="s">
        <v>347</v>
      </c>
      <c r="C17" s="620">
        <f>SUM(C6:C15)</f>
        <v>225726</v>
      </c>
      <c r="D17" s="620">
        <f t="shared" ref="D17:E17" si="1">SUM(D6:D15)</f>
        <v>0</v>
      </c>
      <c r="E17" s="620">
        <f t="shared" si="1"/>
        <v>225726</v>
      </c>
    </row>
    <row r="18" spans="1:5" s="142" customFormat="1" ht="12.75" customHeight="1" x14ac:dyDescent="0.25">
      <c r="A18" s="510">
        <v>16</v>
      </c>
      <c r="B18" s="514"/>
      <c r="C18" s="138"/>
      <c r="D18" s="138"/>
      <c r="E18" s="138"/>
    </row>
    <row r="19" spans="1:5" ht="12.75" customHeight="1" x14ac:dyDescent="0.25">
      <c r="A19" s="510">
        <v>17</v>
      </c>
      <c r="B19" s="101" t="s">
        <v>414</v>
      </c>
      <c r="C19" s="138">
        <f>+C17+C4</f>
        <v>225726</v>
      </c>
      <c r="D19" s="138">
        <f t="shared" ref="D19:E19" si="2">+D17+D4</f>
        <v>0</v>
      </c>
      <c r="E19" s="138">
        <f t="shared" si="2"/>
        <v>225726</v>
      </c>
    </row>
    <row r="20" spans="1:5" ht="12.75" customHeight="1" x14ac:dyDescent="0.25">
      <c r="A20" s="510">
        <v>18</v>
      </c>
      <c r="B20" s="101"/>
      <c r="C20" s="95"/>
      <c r="D20" s="100"/>
      <c r="E20" s="100"/>
    </row>
    <row r="21" spans="1:5" ht="12.75" customHeight="1" x14ac:dyDescent="0.25">
      <c r="A21" s="510">
        <v>19</v>
      </c>
      <c r="B21" s="137" t="s">
        <v>351</v>
      </c>
      <c r="C21" s="95"/>
      <c r="D21" s="100"/>
      <c r="E21" s="100"/>
    </row>
    <row r="22" spans="1:5" ht="12.75" customHeight="1" x14ac:dyDescent="0.25">
      <c r="A22" s="510">
        <v>20</v>
      </c>
      <c r="B22" s="96" t="s">
        <v>776</v>
      </c>
      <c r="C22" s="95"/>
      <c r="D22" s="100"/>
      <c r="E22" s="759">
        <f>C22+D22</f>
        <v>0</v>
      </c>
    </row>
    <row r="23" spans="1:5" ht="12.75" customHeight="1" x14ac:dyDescent="0.25">
      <c r="A23" s="510">
        <v>21</v>
      </c>
      <c r="B23" s="96" t="s">
        <v>791</v>
      </c>
      <c r="C23" s="95">
        <v>24011</v>
      </c>
      <c r="D23" s="759"/>
      <c r="E23" s="759">
        <f>C23+D23</f>
        <v>24011</v>
      </c>
    </row>
    <row r="24" spans="1:5" ht="12.75" customHeight="1" x14ac:dyDescent="0.25">
      <c r="A24" s="510">
        <v>22</v>
      </c>
      <c r="B24" s="144"/>
      <c r="C24" s="98"/>
      <c r="D24" s="99"/>
      <c r="E24" s="99"/>
    </row>
    <row r="25" spans="1:5" ht="12.75" customHeight="1" thickBot="1" x14ac:dyDescent="0.3">
      <c r="A25" s="510">
        <v>23</v>
      </c>
      <c r="B25" s="517" t="s">
        <v>352</v>
      </c>
      <c r="C25" s="770">
        <f>SUM(C22:C24)</f>
        <v>24011</v>
      </c>
      <c r="D25" s="770">
        <f t="shared" ref="D25:E25" si="3">SUM(D22:D24)</f>
        <v>0</v>
      </c>
      <c r="E25" s="770">
        <f t="shared" si="3"/>
        <v>24011</v>
      </c>
    </row>
    <row r="26" spans="1:5" ht="12.75" customHeight="1" thickBot="1" x14ac:dyDescent="0.3">
      <c r="A26" s="510">
        <v>24</v>
      </c>
      <c r="B26" s="771"/>
      <c r="C26" s="772"/>
      <c r="D26" s="773"/>
      <c r="E26" s="774"/>
    </row>
    <row r="27" spans="1:5" ht="25.5" customHeight="1" x14ac:dyDescent="0.25">
      <c r="A27" s="510">
        <v>25</v>
      </c>
      <c r="B27" s="525" t="s">
        <v>633</v>
      </c>
      <c r="C27" s="526"/>
      <c r="D27" s="527"/>
      <c r="E27" s="527"/>
    </row>
    <row r="28" spans="1:5" ht="12" customHeight="1" x14ac:dyDescent="0.25">
      <c r="A28" s="510">
        <v>26</v>
      </c>
      <c r="B28" s="137"/>
      <c r="C28" s="95"/>
      <c r="D28" s="100"/>
      <c r="E28" s="100"/>
    </row>
    <row r="29" spans="1:5" ht="12" customHeight="1" x14ac:dyDescent="0.25">
      <c r="A29" s="510">
        <v>27</v>
      </c>
      <c r="B29" s="137" t="s">
        <v>634</v>
      </c>
      <c r="C29" s="620">
        <f>SUM(C30:C32)</f>
        <v>0</v>
      </c>
      <c r="D29" s="100"/>
      <c r="E29" s="100"/>
    </row>
    <row r="30" spans="1:5" ht="12" customHeight="1" x14ac:dyDescent="0.25">
      <c r="A30" s="510">
        <v>28</v>
      </c>
      <c r="B30" s="97" t="s">
        <v>635</v>
      </c>
      <c r="C30" s="95"/>
      <c r="D30" s="100"/>
      <c r="E30" s="100"/>
    </row>
    <row r="31" spans="1:5" ht="12" hidden="1" customHeight="1" x14ac:dyDescent="0.25">
      <c r="A31" s="510">
        <v>29</v>
      </c>
      <c r="B31" s="97" t="s">
        <v>636</v>
      </c>
      <c r="C31" s="95"/>
      <c r="D31" s="100"/>
      <c r="E31" s="100"/>
    </row>
    <row r="32" spans="1:5" ht="12" hidden="1" customHeight="1" x14ac:dyDescent="0.25">
      <c r="A32" s="510">
        <v>30</v>
      </c>
      <c r="B32" s="97" t="s">
        <v>637</v>
      </c>
      <c r="C32" s="95"/>
      <c r="D32" s="100"/>
      <c r="E32" s="100"/>
    </row>
    <row r="33" spans="1:5" ht="12" customHeight="1" x14ac:dyDescent="0.25">
      <c r="A33" s="510">
        <v>29</v>
      </c>
      <c r="B33" s="101"/>
      <c r="C33" s="95"/>
      <c r="D33" s="100"/>
      <c r="E33" s="100"/>
    </row>
    <row r="34" spans="1:5" ht="12" customHeight="1" x14ac:dyDescent="0.25">
      <c r="A34" s="510">
        <v>30</v>
      </c>
      <c r="B34" s="137" t="s">
        <v>638</v>
      </c>
      <c r="C34" s="620">
        <f>SUM(C35:C37)</f>
        <v>0</v>
      </c>
      <c r="D34" s="620">
        <f t="shared" ref="D34:E34" si="4">SUM(D35:D37)</f>
        <v>0</v>
      </c>
      <c r="E34" s="620">
        <f t="shared" si="4"/>
        <v>0</v>
      </c>
    </row>
    <row r="35" spans="1:5" ht="12.75" customHeight="1" x14ac:dyDescent="0.25">
      <c r="A35" s="510">
        <v>31</v>
      </c>
      <c r="B35" s="97" t="s">
        <v>635</v>
      </c>
      <c r="C35" s="95"/>
      <c r="D35" s="759"/>
      <c r="E35" s="759">
        <f>C35+D35</f>
        <v>0</v>
      </c>
    </row>
    <row r="36" spans="1:5" ht="12.75" hidden="1" customHeight="1" x14ac:dyDescent="0.25">
      <c r="A36" s="510">
        <v>32</v>
      </c>
      <c r="B36" s="97" t="s">
        <v>636</v>
      </c>
      <c r="C36" s="95"/>
      <c r="D36" s="100"/>
      <c r="E36" s="100"/>
    </row>
    <row r="37" spans="1:5" ht="12.75" hidden="1" customHeight="1" x14ac:dyDescent="0.25">
      <c r="A37" s="510">
        <v>33</v>
      </c>
      <c r="B37" s="97" t="s">
        <v>637</v>
      </c>
      <c r="C37" s="98"/>
      <c r="D37" s="99"/>
      <c r="E37" s="99"/>
    </row>
    <row r="38" spans="1:5" ht="12.75" customHeight="1" x14ac:dyDescent="0.25">
      <c r="A38" s="510">
        <v>32</v>
      </c>
      <c r="B38" s="96"/>
      <c r="C38" s="98"/>
      <c r="D38" s="99"/>
      <c r="E38" s="99"/>
    </row>
    <row r="39" spans="1:5" ht="12.75" customHeight="1" x14ac:dyDescent="0.25">
      <c r="A39" s="510">
        <v>33</v>
      </c>
      <c r="B39" s="137" t="s">
        <v>649</v>
      </c>
      <c r="C39" s="621">
        <f>SUM(C40:C43)</f>
        <v>103356</v>
      </c>
      <c r="D39" s="621">
        <f t="shared" ref="D39:E39" si="5">SUM(D40:D43)</f>
        <v>165</v>
      </c>
      <c r="E39" s="621">
        <f t="shared" si="5"/>
        <v>103521</v>
      </c>
    </row>
    <row r="40" spans="1:5" ht="12.75" hidden="1" customHeight="1" x14ac:dyDescent="0.25">
      <c r="A40" s="510">
        <v>36</v>
      </c>
      <c r="B40" s="97" t="s">
        <v>639</v>
      </c>
      <c r="C40" s="98"/>
      <c r="D40" s="99"/>
      <c r="E40" s="99"/>
    </row>
    <row r="41" spans="1:5" ht="12.75" customHeight="1" x14ac:dyDescent="0.25">
      <c r="A41" s="510">
        <v>34</v>
      </c>
      <c r="B41" s="97" t="s">
        <v>635</v>
      </c>
      <c r="C41" s="98">
        <v>103356</v>
      </c>
      <c r="D41" s="99">
        <v>165</v>
      </c>
      <c r="E41" s="759">
        <f>C41+D41</f>
        <v>103521</v>
      </c>
    </row>
    <row r="42" spans="1:5" ht="12.75" hidden="1" customHeight="1" x14ac:dyDescent="0.25">
      <c r="A42" s="510">
        <v>38</v>
      </c>
      <c r="B42" s="97" t="s">
        <v>636</v>
      </c>
      <c r="C42" s="98"/>
      <c r="D42" s="99"/>
      <c r="E42" s="99"/>
    </row>
    <row r="43" spans="1:5" ht="12.75" hidden="1" customHeight="1" x14ac:dyDescent="0.25">
      <c r="A43" s="510">
        <v>39</v>
      </c>
      <c r="B43" s="97" t="s">
        <v>637</v>
      </c>
      <c r="C43" s="98"/>
      <c r="D43" s="99"/>
      <c r="E43" s="99"/>
    </row>
    <row r="44" spans="1:5" ht="12.75" customHeight="1" x14ac:dyDescent="0.25">
      <c r="A44" s="510">
        <v>35</v>
      </c>
      <c r="B44" s="101"/>
      <c r="C44" s="98"/>
      <c r="D44" s="99"/>
      <c r="E44" s="99"/>
    </row>
    <row r="45" spans="1:5" ht="12.75" customHeight="1" x14ac:dyDescent="0.25">
      <c r="A45" s="510">
        <v>36</v>
      </c>
      <c r="B45" s="137" t="s">
        <v>650</v>
      </c>
      <c r="C45" s="621">
        <f>SUM(C46:C48)</f>
        <v>0</v>
      </c>
      <c r="D45" s="621">
        <f t="shared" ref="D45:E45" si="6">SUM(D46:D48)</f>
        <v>0</v>
      </c>
      <c r="E45" s="621">
        <f t="shared" si="6"/>
        <v>0</v>
      </c>
    </row>
    <row r="46" spans="1:5" ht="12.75" customHeight="1" x14ac:dyDescent="0.25">
      <c r="A46" s="510">
        <v>37</v>
      </c>
      <c r="B46" s="97" t="s">
        <v>635</v>
      </c>
      <c r="C46" s="98"/>
      <c r="D46" s="99"/>
      <c r="E46" s="759">
        <f>C46+D46</f>
        <v>0</v>
      </c>
    </row>
    <row r="47" spans="1:5" ht="12.75" hidden="1" customHeight="1" x14ac:dyDescent="0.25">
      <c r="A47" s="510">
        <v>43</v>
      </c>
      <c r="B47" s="97" t="s">
        <v>636</v>
      </c>
      <c r="C47" s="98"/>
      <c r="D47" s="99"/>
      <c r="E47" s="99"/>
    </row>
    <row r="48" spans="1:5" ht="12.75" hidden="1" customHeight="1" x14ac:dyDescent="0.25">
      <c r="A48" s="510">
        <v>44</v>
      </c>
      <c r="B48" s="97" t="s">
        <v>637</v>
      </c>
      <c r="C48" s="98"/>
      <c r="D48" s="99"/>
      <c r="E48" s="99"/>
    </row>
    <row r="49" spans="1:5" ht="12.75" customHeight="1" x14ac:dyDescent="0.25">
      <c r="A49" s="510">
        <v>38</v>
      </c>
      <c r="B49" s="511"/>
      <c r="C49" s="98"/>
      <c r="D49" s="99"/>
      <c r="E49" s="99"/>
    </row>
    <row r="50" spans="1:5" ht="25.5" customHeight="1" thickBot="1" x14ac:dyDescent="0.3">
      <c r="A50" s="510">
        <v>39</v>
      </c>
      <c r="B50" s="517" t="s">
        <v>645</v>
      </c>
      <c r="C50" s="761">
        <f>+C45+C39+C34+C29</f>
        <v>103356</v>
      </c>
      <c r="D50" s="761">
        <f t="shared" ref="D50:E50" si="7">+D45+D39+D34+D29</f>
        <v>165</v>
      </c>
      <c r="E50" s="761">
        <f t="shared" si="7"/>
        <v>103521</v>
      </c>
    </row>
    <row r="51" spans="1:5" ht="12.75" customHeight="1" thickBot="1" x14ac:dyDescent="0.3">
      <c r="A51" s="510">
        <v>40</v>
      </c>
      <c r="B51" s="775"/>
      <c r="C51" s="776"/>
      <c r="D51" s="777"/>
      <c r="E51" s="778"/>
    </row>
    <row r="52" spans="1:5" ht="32.25" customHeight="1" x14ac:dyDescent="0.25">
      <c r="A52" s="510">
        <v>41</v>
      </c>
      <c r="B52" s="525" t="s">
        <v>818</v>
      </c>
      <c r="C52" s="521"/>
      <c r="D52" s="622"/>
      <c r="E52" s="622"/>
    </row>
    <row r="53" spans="1:5" ht="12.75" customHeight="1" x14ac:dyDescent="0.25">
      <c r="A53" s="510">
        <v>42</v>
      </c>
      <c r="B53" s="96" t="s">
        <v>635</v>
      </c>
      <c r="C53" s="98">
        <v>70624</v>
      </c>
      <c r="D53" s="99"/>
      <c r="E53" s="99">
        <f>C53+D53</f>
        <v>70624</v>
      </c>
    </row>
    <row r="54" spans="1:5" ht="12.75" hidden="1" customHeight="1" x14ac:dyDescent="0.25">
      <c r="A54" s="510">
        <v>50</v>
      </c>
      <c r="B54" s="96" t="s">
        <v>637</v>
      </c>
      <c r="C54" s="98"/>
      <c r="D54" s="99"/>
      <c r="E54" s="99"/>
    </row>
    <row r="55" spans="1:5" ht="12.75" customHeight="1" x14ac:dyDescent="0.25">
      <c r="A55" s="510">
        <v>43</v>
      </c>
      <c r="B55" s="96"/>
      <c r="C55" s="98"/>
      <c r="D55" s="99"/>
      <c r="E55" s="99"/>
    </row>
    <row r="56" spans="1:5" s="142" customFormat="1" ht="27.75" customHeight="1" x14ac:dyDescent="0.25">
      <c r="A56" s="510">
        <v>44</v>
      </c>
      <c r="B56" s="517" t="s">
        <v>819</v>
      </c>
      <c r="C56" s="779">
        <f>+C54+C53</f>
        <v>70624</v>
      </c>
      <c r="D56" s="779">
        <f t="shared" ref="D56:E56" si="8">+D54+D53</f>
        <v>0</v>
      </c>
      <c r="E56" s="779">
        <f t="shared" si="8"/>
        <v>70624</v>
      </c>
    </row>
    <row r="57" spans="1:5" ht="12.75" customHeight="1" thickBot="1" x14ac:dyDescent="0.3">
      <c r="A57" s="510">
        <v>45</v>
      </c>
      <c r="B57" s="780"/>
      <c r="C57" s="781"/>
      <c r="D57" s="782"/>
      <c r="E57" s="782"/>
    </row>
    <row r="58" spans="1:5" ht="12.75" customHeight="1" thickBot="1" x14ac:dyDescent="0.3">
      <c r="A58" s="510">
        <v>46</v>
      </c>
      <c r="B58" s="775"/>
      <c r="C58" s="776"/>
      <c r="D58" s="777"/>
      <c r="E58" s="778"/>
    </row>
    <row r="59" spans="1:5" ht="12.75" customHeight="1" x14ac:dyDescent="0.25">
      <c r="A59" s="510">
        <v>47</v>
      </c>
      <c r="B59" s="783" t="s">
        <v>348</v>
      </c>
      <c r="C59" s="784">
        <f>SUM(C60:C85)</f>
        <v>50185</v>
      </c>
      <c r="D59" s="784">
        <f>SUM(D60:D102)</f>
        <v>30752</v>
      </c>
      <c r="E59" s="784">
        <f>SUM(E60:E102)</f>
        <v>80937</v>
      </c>
    </row>
    <row r="60" spans="1:5" ht="12.75" customHeight="1" x14ac:dyDescent="0.25">
      <c r="A60" s="510">
        <v>48</v>
      </c>
      <c r="B60" s="97" t="s">
        <v>879</v>
      </c>
      <c r="C60" s="98">
        <v>586</v>
      </c>
      <c r="D60" s="98"/>
      <c r="E60" s="98">
        <f>C60+D60</f>
        <v>586</v>
      </c>
    </row>
    <row r="61" spans="1:5" ht="12.75" customHeight="1" x14ac:dyDescent="0.25">
      <c r="A61" s="510">
        <v>49</v>
      </c>
      <c r="B61" s="97" t="s">
        <v>875</v>
      </c>
      <c r="C61" s="98">
        <v>29</v>
      </c>
      <c r="D61" s="98"/>
      <c r="E61" s="98">
        <f>C61+D61</f>
        <v>29</v>
      </c>
    </row>
    <row r="62" spans="1:5" ht="12.75" customHeight="1" x14ac:dyDescent="0.25">
      <c r="A62" s="510">
        <v>50</v>
      </c>
      <c r="B62" s="97" t="s">
        <v>876</v>
      </c>
      <c r="C62" s="98">
        <v>210</v>
      </c>
      <c r="D62" s="98"/>
      <c r="E62" s="98">
        <f t="shared" ref="E62:E102" si="9">C62+D62</f>
        <v>210</v>
      </c>
    </row>
    <row r="63" spans="1:5" ht="12.75" customHeight="1" x14ac:dyDescent="0.25">
      <c r="A63" s="510">
        <v>51</v>
      </c>
      <c r="B63" s="97" t="s">
        <v>877</v>
      </c>
      <c r="C63" s="98">
        <v>381</v>
      </c>
      <c r="D63" s="98"/>
      <c r="E63" s="98">
        <f t="shared" si="9"/>
        <v>381</v>
      </c>
    </row>
    <row r="64" spans="1:5" ht="12.75" customHeight="1" x14ac:dyDescent="0.25">
      <c r="A64" s="510">
        <v>52</v>
      </c>
      <c r="B64" s="97" t="s">
        <v>878</v>
      </c>
      <c r="C64" s="98">
        <v>229</v>
      </c>
      <c r="D64" s="98"/>
      <c r="E64" s="98">
        <f>C64+D64</f>
        <v>229</v>
      </c>
    </row>
    <row r="65" spans="1:5" ht="12.75" customHeight="1" x14ac:dyDescent="0.25">
      <c r="A65" s="510">
        <v>53</v>
      </c>
      <c r="B65" s="97" t="s">
        <v>880</v>
      </c>
      <c r="C65" s="98">
        <v>699</v>
      </c>
      <c r="D65" s="98"/>
      <c r="E65" s="98">
        <f t="shared" si="9"/>
        <v>699</v>
      </c>
    </row>
    <row r="66" spans="1:5" ht="12.75" customHeight="1" x14ac:dyDescent="0.25">
      <c r="A66" s="510">
        <v>54</v>
      </c>
      <c r="B66" s="97" t="s">
        <v>881</v>
      </c>
      <c r="C66" s="98">
        <v>8461</v>
      </c>
      <c r="D66" s="98"/>
      <c r="E66" s="98">
        <f t="shared" si="9"/>
        <v>8461</v>
      </c>
    </row>
    <row r="67" spans="1:5" ht="12.75" customHeight="1" x14ac:dyDescent="0.25">
      <c r="A67" s="510">
        <v>55</v>
      </c>
      <c r="B67" s="97" t="s">
        <v>882</v>
      </c>
      <c r="C67" s="98">
        <v>1002</v>
      </c>
      <c r="D67" s="98"/>
      <c r="E67" s="98">
        <f t="shared" si="9"/>
        <v>1002</v>
      </c>
    </row>
    <row r="68" spans="1:5" ht="12.75" customHeight="1" x14ac:dyDescent="0.25">
      <c r="A68" s="510">
        <v>56</v>
      </c>
      <c r="B68" s="97" t="s">
        <v>887</v>
      </c>
      <c r="C68" s="98">
        <v>206</v>
      </c>
      <c r="D68" s="98"/>
      <c r="E68" s="98">
        <f t="shared" si="9"/>
        <v>206</v>
      </c>
    </row>
    <row r="69" spans="1:5" ht="12.75" customHeight="1" x14ac:dyDescent="0.25">
      <c r="A69" s="510">
        <v>57</v>
      </c>
      <c r="B69" s="97" t="s">
        <v>889</v>
      </c>
      <c r="C69" s="98">
        <v>1270</v>
      </c>
      <c r="D69" s="98"/>
      <c r="E69" s="98">
        <f t="shared" si="9"/>
        <v>1270</v>
      </c>
    </row>
    <row r="70" spans="1:5" ht="12.75" customHeight="1" x14ac:dyDescent="0.25">
      <c r="A70" s="510">
        <v>58</v>
      </c>
      <c r="B70" s="97" t="s">
        <v>890</v>
      </c>
      <c r="C70" s="98">
        <v>381</v>
      </c>
      <c r="D70" s="98"/>
      <c r="E70" s="98">
        <f t="shared" si="9"/>
        <v>381</v>
      </c>
    </row>
    <row r="71" spans="1:5" ht="12.75" customHeight="1" x14ac:dyDescent="0.25">
      <c r="A71" s="510">
        <v>59</v>
      </c>
      <c r="B71" s="97" t="s">
        <v>893</v>
      </c>
      <c r="C71" s="98">
        <v>165</v>
      </c>
      <c r="D71" s="98"/>
      <c r="E71" s="98">
        <f t="shared" si="9"/>
        <v>165</v>
      </c>
    </row>
    <row r="72" spans="1:5" ht="12.75" customHeight="1" x14ac:dyDescent="0.25">
      <c r="A72" s="510">
        <v>60</v>
      </c>
      <c r="B72" s="97" t="s">
        <v>894</v>
      </c>
      <c r="C72" s="98">
        <v>69</v>
      </c>
      <c r="D72" s="98"/>
      <c r="E72" s="98">
        <f t="shared" si="9"/>
        <v>69</v>
      </c>
    </row>
    <row r="73" spans="1:5" ht="12.75" customHeight="1" x14ac:dyDescent="0.25">
      <c r="A73" s="510">
        <v>61</v>
      </c>
      <c r="B73" s="97" t="s">
        <v>895</v>
      </c>
      <c r="C73" s="98">
        <v>577</v>
      </c>
      <c r="D73" s="98"/>
      <c r="E73" s="98">
        <f t="shared" si="9"/>
        <v>577</v>
      </c>
    </row>
    <row r="74" spans="1:5" ht="12.75" customHeight="1" x14ac:dyDescent="0.25">
      <c r="A74" s="510">
        <v>62</v>
      </c>
      <c r="B74" s="97" t="s">
        <v>896</v>
      </c>
      <c r="C74" s="98">
        <v>12339</v>
      </c>
      <c r="D74" s="98"/>
      <c r="E74" s="98">
        <f t="shared" si="9"/>
        <v>12339</v>
      </c>
    </row>
    <row r="75" spans="1:5" ht="12.75" customHeight="1" x14ac:dyDescent="0.25">
      <c r="A75" s="510">
        <v>63</v>
      </c>
      <c r="B75" s="97" t="s">
        <v>912</v>
      </c>
      <c r="C75" s="98">
        <v>133</v>
      </c>
      <c r="D75" s="98"/>
      <c r="E75" s="98">
        <f t="shared" si="9"/>
        <v>133</v>
      </c>
    </row>
    <row r="76" spans="1:5" ht="12.75" customHeight="1" x14ac:dyDescent="0.25">
      <c r="A76" s="510">
        <v>64</v>
      </c>
      <c r="B76" s="97" t="s">
        <v>901</v>
      </c>
      <c r="C76" s="98">
        <v>508</v>
      </c>
      <c r="D76" s="98"/>
      <c r="E76" s="98">
        <f t="shared" si="9"/>
        <v>508</v>
      </c>
    </row>
    <row r="77" spans="1:5" ht="12.75" customHeight="1" x14ac:dyDescent="0.25">
      <c r="A77" s="510">
        <v>65</v>
      </c>
      <c r="B77" s="97" t="s">
        <v>902</v>
      </c>
      <c r="C77" s="98">
        <v>196</v>
      </c>
      <c r="D77" s="98"/>
      <c r="E77" s="98">
        <f t="shared" si="9"/>
        <v>196</v>
      </c>
    </row>
    <row r="78" spans="1:5" ht="12.75" customHeight="1" x14ac:dyDescent="0.25">
      <c r="A78" s="510">
        <v>66</v>
      </c>
      <c r="B78" s="97" t="s">
        <v>916</v>
      </c>
      <c r="C78" s="98">
        <v>152</v>
      </c>
      <c r="D78" s="98"/>
      <c r="E78" s="98">
        <f t="shared" si="9"/>
        <v>152</v>
      </c>
    </row>
    <row r="79" spans="1:5" ht="12.75" customHeight="1" x14ac:dyDescent="0.25">
      <c r="A79" s="510">
        <v>67</v>
      </c>
      <c r="B79" s="97" t="s">
        <v>917</v>
      </c>
      <c r="C79" s="98">
        <v>9500</v>
      </c>
      <c r="D79" s="98"/>
      <c r="E79" s="98">
        <f t="shared" si="9"/>
        <v>9500</v>
      </c>
    </row>
    <row r="80" spans="1:5" ht="12.75" customHeight="1" x14ac:dyDescent="0.25">
      <c r="A80" s="510">
        <v>68</v>
      </c>
      <c r="B80" s="97" t="s">
        <v>920</v>
      </c>
      <c r="C80" s="98">
        <v>660</v>
      </c>
      <c r="D80" s="98"/>
      <c r="E80" s="98">
        <f t="shared" si="9"/>
        <v>660</v>
      </c>
    </row>
    <row r="81" spans="1:5" ht="12.75" customHeight="1" x14ac:dyDescent="0.25">
      <c r="A81" s="510">
        <v>69</v>
      </c>
      <c r="B81" s="97" t="s">
        <v>921</v>
      </c>
      <c r="C81" s="98">
        <v>235</v>
      </c>
      <c r="D81" s="98"/>
      <c r="E81" s="98">
        <f t="shared" si="9"/>
        <v>235</v>
      </c>
    </row>
    <row r="82" spans="1:5" ht="12.75" customHeight="1" x14ac:dyDescent="0.25">
      <c r="A82" s="510">
        <v>70</v>
      </c>
      <c r="B82" s="97" t="s">
        <v>922</v>
      </c>
      <c r="C82" s="98">
        <v>999</v>
      </c>
      <c r="D82" s="98"/>
      <c r="E82" s="98">
        <f t="shared" si="9"/>
        <v>999</v>
      </c>
    </row>
    <row r="83" spans="1:5" ht="12.75" customHeight="1" x14ac:dyDescent="0.25">
      <c r="A83" s="510">
        <v>71</v>
      </c>
      <c r="B83" s="97" t="s">
        <v>923</v>
      </c>
      <c r="C83" s="98">
        <v>203</v>
      </c>
      <c r="D83" s="98"/>
      <c r="E83" s="98">
        <f t="shared" si="9"/>
        <v>203</v>
      </c>
    </row>
    <row r="84" spans="1:5" ht="12.75" customHeight="1" x14ac:dyDescent="0.25">
      <c r="A84" s="510">
        <v>72</v>
      </c>
      <c r="B84" s="97" t="s">
        <v>924</v>
      </c>
      <c r="C84" s="98">
        <v>10851</v>
      </c>
      <c r="D84" s="98"/>
      <c r="E84" s="98">
        <f t="shared" si="9"/>
        <v>10851</v>
      </c>
    </row>
    <row r="85" spans="1:5" ht="12.75" customHeight="1" x14ac:dyDescent="0.25">
      <c r="A85" s="510">
        <v>73</v>
      </c>
      <c r="B85" s="97" t="s">
        <v>935</v>
      </c>
      <c r="C85" s="98">
        <v>144</v>
      </c>
      <c r="D85" s="98">
        <v>525</v>
      </c>
      <c r="E85" s="98">
        <f t="shared" si="9"/>
        <v>669</v>
      </c>
    </row>
    <row r="86" spans="1:5" ht="12.75" customHeight="1" x14ac:dyDescent="0.25">
      <c r="A86" s="510">
        <v>74</v>
      </c>
      <c r="B86" s="97" t="s">
        <v>947</v>
      </c>
      <c r="C86" s="98"/>
      <c r="D86" s="98">
        <v>10000</v>
      </c>
      <c r="E86" s="98">
        <f t="shared" si="9"/>
        <v>10000</v>
      </c>
    </row>
    <row r="87" spans="1:5" ht="12.75" customHeight="1" x14ac:dyDescent="0.25">
      <c r="A87" s="510">
        <v>75</v>
      </c>
      <c r="B87" s="97" t="s">
        <v>952</v>
      </c>
      <c r="C87" s="98"/>
      <c r="D87" s="98">
        <v>2095</v>
      </c>
      <c r="E87" s="98">
        <f t="shared" si="9"/>
        <v>2095</v>
      </c>
    </row>
    <row r="88" spans="1:5" ht="12.75" customHeight="1" x14ac:dyDescent="0.25">
      <c r="A88" s="510">
        <v>76</v>
      </c>
      <c r="B88" s="97" t="s">
        <v>955</v>
      </c>
      <c r="C88" s="98"/>
      <c r="D88" s="98">
        <v>1000</v>
      </c>
      <c r="E88" s="98">
        <f t="shared" si="9"/>
        <v>1000</v>
      </c>
    </row>
    <row r="89" spans="1:5" ht="12.75" customHeight="1" x14ac:dyDescent="0.25">
      <c r="A89" s="510">
        <v>77</v>
      </c>
      <c r="B89" s="97" t="s">
        <v>967</v>
      </c>
      <c r="C89" s="98"/>
      <c r="D89" s="98">
        <v>110</v>
      </c>
      <c r="E89" s="98">
        <f t="shared" si="9"/>
        <v>110</v>
      </c>
    </row>
    <row r="90" spans="1:5" ht="12.75" customHeight="1" x14ac:dyDescent="0.25">
      <c r="A90" s="510">
        <v>78</v>
      </c>
      <c r="B90" s="97" t="s">
        <v>970</v>
      </c>
      <c r="C90" s="98"/>
      <c r="D90" s="98">
        <v>1167</v>
      </c>
      <c r="E90" s="98">
        <f t="shared" si="9"/>
        <v>1167</v>
      </c>
    </row>
    <row r="91" spans="1:5" ht="12.75" customHeight="1" x14ac:dyDescent="0.25">
      <c r="A91" s="510">
        <v>79</v>
      </c>
      <c r="B91" s="97" t="s">
        <v>1085</v>
      </c>
      <c r="C91" s="98"/>
      <c r="D91" s="98">
        <v>2578</v>
      </c>
      <c r="E91" s="98">
        <f t="shared" si="9"/>
        <v>2578</v>
      </c>
    </row>
    <row r="92" spans="1:5" ht="12.75" customHeight="1" x14ac:dyDescent="0.25">
      <c r="A92" s="510">
        <v>80</v>
      </c>
      <c r="B92" s="97" t="s">
        <v>977</v>
      </c>
      <c r="C92" s="98"/>
      <c r="D92" s="98">
        <v>1437</v>
      </c>
      <c r="E92" s="98">
        <f t="shared" si="9"/>
        <v>1437</v>
      </c>
    </row>
    <row r="93" spans="1:5" ht="12.75" customHeight="1" x14ac:dyDescent="0.25">
      <c r="A93" s="510">
        <v>81</v>
      </c>
      <c r="B93" s="97" t="s">
        <v>1084</v>
      </c>
      <c r="C93" s="98"/>
      <c r="D93" s="98">
        <f>871+1283+503</f>
        <v>2657</v>
      </c>
      <c r="E93" s="98">
        <f t="shared" si="9"/>
        <v>2657</v>
      </c>
    </row>
    <row r="94" spans="1:5" ht="12.75" customHeight="1" x14ac:dyDescent="0.25">
      <c r="A94" s="510">
        <v>82</v>
      </c>
      <c r="B94" s="97" t="s">
        <v>996</v>
      </c>
      <c r="C94" s="98"/>
      <c r="D94" s="98">
        <v>1221</v>
      </c>
      <c r="E94" s="98">
        <f t="shared" si="9"/>
        <v>1221</v>
      </c>
    </row>
    <row r="95" spans="1:5" ht="12.75" customHeight="1" x14ac:dyDescent="0.25">
      <c r="A95" s="510">
        <v>83</v>
      </c>
      <c r="B95" s="97" t="s">
        <v>998</v>
      </c>
      <c r="C95" s="98"/>
      <c r="D95" s="98">
        <v>460</v>
      </c>
      <c r="E95" s="98">
        <f t="shared" si="9"/>
        <v>460</v>
      </c>
    </row>
    <row r="96" spans="1:5" ht="12.75" customHeight="1" x14ac:dyDescent="0.25">
      <c r="A96" s="510">
        <v>84</v>
      </c>
      <c r="B96" s="97" t="s">
        <v>1029</v>
      </c>
      <c r="C96" s="98"/>
      <c r="D96" s="98">
        <v>284</v>
      </c>
      <c r="E96" s="98">
        <f t="shared" si="9"/>
        <v>284</v>
      </c>
    </row>
    <row r="97" spans="1:5" ht="12.75" customHeight="1" x14ac:dyDescent="0.25">
      <c r="A97" s="510">
        <v>85</v>
      </c>
      <c r="B97" s="97" t="s">
        <v>1032</v>
      </c>
      <c r="C97" s="98"/>
      <c r="D97" s="98">
        <v>1100</v>
      </c>
      <c r="E97" s="98">
        <f t="shared" si="9"/>
        <v>1100</v>
      </c>
    </row>
    <row r="98" spans="1:5" ht="12.75" customHeight="1" x14ac:dyDescent="0.25">
      <c r="A98" s="510">
        <v>86</v>
      </c>
      <c r="B98" s="97" t="s">
        <v>1037</v>
      </c>
      <c r="C98" s="98"/>
      <c r="D98" s="98">
        <v>768</v>
      </c>
      <c r="E98" s="98">
        <f t="shared" si="9"/>
        <v>768</v>
      </c>
    </row>
    <row r="99" spans="1:5" ht="12.75" customHeight="1" x14ac:dyDescent="0.25">
      <c r="A99" s="510">
        <v>87</v>
      </c>
      <c r="B99" s="97" t="s">
        <v>1040</v>
      </c>
      <c r="C99" s="98"/>
      <c r="D99" s="98">
        <v>36</v>
      </c>
      <c r="E99" s="98">
        <f t="shared" si="9"/>
        <v>36</v>
      </c>
    </row>
    <row r="100" spans="1:5" ht="12.75" customHeight="1" x14ac:dyDescent="0.25">
      <c r="A100" s="510">
        <v>88</v>
      </c>
      <c r="B100" s="97" t="s">
        <v>1042</v>
      </c>
      <c r="C100" s="98"/>
      <c r="D100" s="98">
        <v>2921</v>
      </c>
      <c r="E100" s="98">
        <f t="shared" si="9"/>
        <v>2921</v>
      </c>
    </row>
    <row r="101" spans="1:5" ht="12.75" customHeight="1" x14ac:dyDescent="0.25">
      <c r="A101" s="510">
        <v>89</v>
      </c>
      <c r="B101" s="97" t="s">
        <v>1045</v>
      </c>
      <c r="C101" s="98"/>
      <c r="D101" s="98">
        <v>1068</v>
      </c>
      <c r="E101" s="98">
        <f t="shared" si="9"/>
        <v>1068</v>
      </c>
    </row>
    <row r="102" spans="1:5" ht="14.25" customHeight="1" x14ac:dyDescent="0.25">
      <c r="A102" s="510">
        <v>90</v>
      </c>
      <c r="B102" s="97" t="s">
        <v>1077</v>
      </c>
      <c r="C102" s="98"/>
      <c r="D102" s="98">
        <v>1325</v>
      </c>
      <c r="E102" s="98">
        <f t="shared" si="9"/>
        <v>1325</v>
      </c>
    </row>
    <row r="103" spans="1:5" ht="12.75" customHeight="1" x14ac:dyDescent="0.25">
      <c r="A103" s="510">
        <v>91</v>
      </c>
      <c r="B103" s="143" t="s">
        <v>349</v>
      </c>
      <c r="C103" s="100">
        <f>+SUM(C104:C104)</f>
        <v>1000</v>
      </c>
      <c r="D103" s="100">
        <f>+SUM(D104:D104)</f>
        <v>0</v>
      </c>
      <c r="E103" s="100">
        <f>+SUM(E104:E104)</f>
        <v>1000</v>
      </c>
    </row>
    <row r="104" spans="1:5" ht="12.75" customHeight="1" x14ac:dyDescent="0.25">
      <c r="A104" s="510">
        <v>92</v>
      </c>
      <c r="B104" s="97" t="s">
        <v>792</v>
      </c>
      <c r="C104" s="98">
        <v>1000</v>
      </c>
      <c r="D104" s="99"/>
      <c r="E104" s="99">
        <f>C104+D104</f>
        <v>1000</v>
      </c>
    </row>
    <row r="105" spans="1:5" s="142" customFormat="1" ht="12.75" customHeight="1" thickBot="1" x14ac:dyDescent="0.3">
      <c r="A105" s="510">
        <v>93</v>
      </c>
      <c r="B105" s="529" t="s">
        <v>350</v>
      </c>
      <c r="C105" s="530">
        <f>+C103+C59</f>
        <v>51185</v>
      </c>
      <c r="D105" s="530">
        <f>+D103+D59</f>
        <v>30752</v>
      </c>
      <c r="E105" s="530">
        <f>+E103+E59</f>
        <v>81937</v>
      </c>
    </row>
    <row r="106" spans="1:5" s="142" customFormat="1" ht="12.75" customHeight="1" thickBot="1" x14ac:dyDescent="0.3">
      <c r="A106" s="510">
        <v>94</v>
      </c>
      <c r="B106" s="512"/>
      <c r="C106" s="513"/>
      <c r="D106" s="513"/>
      <c r="E106" s="513"/>
    </row>
    <row r="107" spans="1:5" ht="12.75" customHeight="1" x14ac:dyDescent="0.25">
      <c r="A107" s="510">
        <v>95</v>
      </c>
      <c r="B107" s="534" t="s">
        <v>556</v>
      </c>
      <c r="C107" s="526"/>
      <c r="D107" s="527"/>
      <c r="E107" s="527"/>
    </row>
    <row r="108" spans="1:5" ht="12.75" customHeight="1" x14ac:dyDescent="0.25">
      <c r="A108" s="510">
        <v>96</v>
      </c>
      <c r="B108" s="624" t="s">
        <v>676</v>
      </c>
      <c r="C108" s="98">
        <v>1000</v>
      </c>
      <c r="D108" s="99"/>
      <c r="E108" s="99">
        <f>C108+D108</f>
        <v>1000</v>
      </c>
    </row>
    <row r="109" spans="1:5" ht="12.75" customHeight="1" x14ac:dyDescent="0.25">
      <c r="A109" s="510">
        <v>97</v>
      </c>
      <c r="B109" s="624" t="s">
        <v>683</v>
      </c>
      <c r="C109" s="98">
        <v>1000</v>
      </c>
      <c r="D109" s="99"/>
      <c r="E109" s="99">
        <f t="shared" ref="E109" si="10">C109+D109</f>
        <v>1000</v>
      </c>
    </row>
    <row r="110" spans="1:5" ht="12.75" customHeight="1" x14ac:dyDescent="0.25">
      <c r="A110" s="510">
        <v>98</v>
      </c>
      <c r="B110" s="625"/>
      <c r="C110" s="98"/>
      <c r="D110" s="99"/>
      <c r="E110" s="99"/>
    </row>
    <row r="111" spans="1:5" s="142" customFormat="1" ht="12.75" customHeight="1" thickBot="1" x14ac:dyDescent="0.3">
      <c r="A111" s="510">
        <v>99</v>
      </c>
      <c r="B111" s="529" t="s">
        <v>353</v>
      </c>
      <c r="C111" s="530">
        <f>SUM(C108:C110)</f>
        <v>2000</v>
      </c>
      <c r="D111" s="530">
        <f>SUM(D108:D110)</f>
        <v>0</v>
      </c>
      <c r="E111" s="530">
        <f>SUM(E108:E110)</f>
        <v>2000</v>
      </c>
    </row>
    <row r="112" spans="1:5" s="142" customFormat="1" ht="13.5" customHeight="1" thickBot="1" x14ac:dyDescent="0.3">
      <c r="A112" s="510">
        <v>100</v>
      </c>
      <c r="B112" s="518" t="s">
        <v>354</v>
      </c>
      <c r="C112" s="519">
        <f>+C111++C56+C105+C50+C19+C25</f>
        <v>476902</v>
      </c>
      <c r="D112" s="519">
        <f>+D111++D56+D105+D50+D19+D25</f>
        <v>30917</v>
      </c>
      <c r="E112" s="519">
        <f>+E111++E56+E105+E50+E19+E25</f>
        <v>507819</v>
      </c>
    </row>
    <row r="113" spans="2:5" ht="13.5" customHeight="1" x14ac:dyDescent="0.25">
      <c r="B113" s="102"/>
      <c r="C113" s="145"/>
      <c r="D113" s="146"/>
      <c r="E113" s="146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workbookViewId="0">
      <selection activeCell="E39" sqref="E39"/>
    </sheetView>
  </sheetViews>
  <sheetFormatPr defaultColWidth="53.140625" defaultRowHeight="15" x14ac:dyDescent="0.25"/>
  <cols>
    <col min="1" max="1" width="5.5703125" style="83" customWidth="1"/>
    <col min="2" max="2" width="53.140625" style="84" customWidth="1"/>
    <col min="3" max="3" width="13.7109375" style="83" customWidth="1"/>
    <col min="4" max="4" width="13.42578125" style="83" customWidth="1"/>
    <col min="5" max="5" width="13.28515625" style="83" customWidth="1"/>
    <col min="6" max="16384" width="53.140625" style="83"/>
  </cols>
  <sheetData>
    <row r="1" spans="1:5" ht="12.75" customHeight="1" x14ac:dyDescent="0.25"/>
    <row r="2" spans="1:5" ht="12.75" customHeight="1" thickBot="1" x14ac:dyDescent="0.25">
      <c r="D2" s="1440" t="s">
        <v>383</v>
      </c>
      <c r="E2" s="1440"/>
    </row>
    <row r="3" spans="1:5" s="85" customFormat="1" ht="39.75" customHeight="1" thickBot="1" x14ac:dyDescent="0.3">
      <c r="A3" s="537" t="s">
        <v>653</v>
      </c>
      <c r="B3" s="538" t="s">
        <v>640</v>
      </c>
      <c r="C3" s="785" t="s">
        <v>914</v>
      </c>
      <c r="D3" s="538" t="s">
        <v>684</v>
      </c>
      <c r="E3" s="785" t="s">
        <v>938</v>
      </c>
    </row>
    <row r="4" spans="1:5" s="86" customFormat="1" ht="12.75" customHeight="1" x14ac:dyDescent="0.25">
      <c r="A4" s="524" t="s">
        <v>305</v>
      </c>
      <c r="B4" s="539"/>
      <c r="C4" s="533"/>
      <c r="D4" s="533"/>
      <c r="E4" s="791"/>
    </row>
    <row r="5" spans="1:5" s="86" customFormat="1" ht="12.75" customHeight="1" x14ac:dyDescent="0.25">
      <c r="A5" s="500" t="s">
        <v>393</v>
      </c>
      <c r="B5" s="535" t="s">
        <v>641</v>
      </c>
      <c r="C5" s="138"/>
      <c r="D5" s="138"/>
      <c r="E5" s="786"/>
    </row>
    <row r="6" spans="1:5" s="86" customFormat="1" ht="12.75" customHeight="1" x14ac:dyDescent="0.25">
      <c r="A6" s="500" t="s">
        <v>449</v>
      </c>
      <c r="B6" s="96" t="s">
        <v>772</v>
      </c>
      <c r="C6" s="95"/>
      <c r="D6" s="95"/>
      <c r="E6" s="801">
        <f>C6+D6</f>
        <v>0</v>
      </c>
    </row>
    <row r="7" spans="1:5" s="86" customFormat="1" ht="12.75" customHeight="1" x14ac:dyDescent="0.25">
      <c r="A7" s="500" t="s">
        <v>450</v>
      </c>
      <c r="B7" s="96" t="s">
        <v>773</v>
      </c>
      <c r="C7" s="95"/>
      <c r="D7" s="95"/>
      <c r="E7" s="801">
        <f>C7+D7</f>
        <v>0</v>
      </c>
    </row>
    <row r="8" spans="1:5" ht="13.5" customHeight="1" x14ac:dyDescent="0.25">
      <c r="A8" s="500" t="s">
        <v>451</v>
      </c>
      <c r="B8" s="536"/>
      <c r="C8" s="95"/>
      <c r="D8" s="99"/>
      <c r="E8" s="787"/>
    </row>
    <row r="9" spans="1:5" ht="12.75" customHeight="1" x14ac:dyDescent="0.25">
      <c r="A9" s="500" t="s">
        <v>452</v>
      </c>
      <c r="B9" s="536" t="s">
        <v>347</v>
      </c>
      <c r="C9" s="138">
        <f>SUM(C6:C8)</f>
        <v>0</v>
      </c>
      <c r="D9" s="138">
        <f t="shared" ref="D9:E9" si="0">SUM(D6:D8)</f>
        <v>0</v>
      </c>
      <c r="E9" s="138">
        <f t="shared" si="0"/>
        <v>0</v>
      </c>
    </row>
    <row r="10" spans="1:5" ht="12.75" customHeight="1" x14ac:dyDescent="0.25">
      <c r="A10" s="500" t="s">
        <v>453</v>
      </c>
      <c r="B10" s="514"/>
      <c r="C10" s="138"/>
      <c r="D10" s="138"/>
      <c r="E10" s="786"/>
    </row>
    <row r="11" spans="1:5" ht="12.75" customHeight="1" thickBot="1" x14ac:dyDescent="0.3">
      <c r="A11" s="528" t="s">
        <v>454</v>
      </c>
      <c r="B11" s="529" t="s">
        <v>355</v>
      </c>
      <c r="C11" s="540"/>
      <c r="D11" s="531"/>
      <c r="E11" s="792"/>
    </row>
    <row r="12" spans="1:5" ht="12.75" customHeight="1" x14ac:dyDescent="0.25">
      <c r="A12" s="524" t="s">
        <v>455</v>
      </c>
      <c r="B12" s="543"/>
      <c r="C12" s="526"/>
      <c r="D12" s="763"/>
      <c r="E12" s="794">
        <f>+D12+C12</f>
        <v>0</v>
      </c>
    </row>
    <row r="13" spans="1:5" ht="12.75" customHeight="1" x14ac:dyDescent="0.25">
      <c r="A13" s="500" t="s">
        <v>456</v>
      </c>
      <c r="B13" s="535" t="s">
        <v>351</v>
      </c>
      <c r="C13" s="100">
        <f>C14</f>
        <v>30493</v>
      </c>
      <c r="D13" s="100">
        <f t="shared" ref="D13:E13" si="1">D14</f>
        <v>0</v>
      </c>
      <c r="E13" s="100">
        <f t="shared" si="1"/>
        <v>30493</v>
      </c>
    </row>
    <row r="14" spans="1:5" ht="12.75" customHeight="1" x14ac:dyDescent="0.25">
      <c r="A14" s="500" t="s">
        <v>749</v>
      </c>
      <c r="B14" s="144" t="s">
        <v>886</v>
      </c>
      <c r="C14" s="98">
        <v>30493</v>
      </c>
      <c r="D14" s="99"/>
      <c r="E14" s="801">
        <f>C14+D14</f>
        <v>30493</v>
      </c>
    </row>
    <row r="15" spans="1:5" ht="12.75" customHeight="1" x14ac:dyDescent="0.25">
      <c r="A15" s="509" t="s">
        <v>750</v>
      </c>
      <c r="B15" s="802"/>
      <c r="C15" s="781"/>
      <c r="D15" s="782"/>
      <c r="E15" s="803"/>
    </row>
    <row r="16" spans="1:5" ht="12.75" customHeight="1" thickBot="1" x14ac:dyDescent="0.3">
      <c r="A16" s="528" t="s">
        <v>751</v>
      </c>
      <c r="B16" s="529" t="s">
        <v>352</v>
      </c>
      <c r="C16" s="530">
        <f>+C13</f>
        <v>30493</v>
      </c>
      <c r="D16" s="530">
        <f>+D13</f>
        <v>0</v>
      </c>
      <c r="E16" s="795">
        <f>+E13</f>
        <v>30493</v>
      </c>
    </row>
    <row r="17" spans="1:5" ht="12.75" customHeight="1" thickBot="1" x14ac:dyDescent="0.3">
      <c r="A17" s="532" t="s">
        <v>752</v>
      </c>
      <c r="B17" s="512"/>
      <c r="C17" s="508"/>
      <c r="D17" s="513"/>
      <c r="E17" s="796"/>
    </row>
    <row r="18" spans="1:5" s="139" customFormat="1" ht="25.5" customHeight="1" x14ac:dyDescent="0.25">
      <c r="A18" s="524" t="s">
        <v>753</v>
      </c>
      <c r="B18" s="534" t="s">
        <v>644</v>
      </c>
      <c r="C18" s="526"/>
      <c r="D18" s="527"/>
      <c r="E18" s="760"/>
    </row>
    <row r="19" spans="1:5" ht="12.75" customHeight="1" thickBot="1" x14ac:dyDescent="0.3">
      <c r="A19" s="528" t="s">
        <v>754</v>
      </c>
      <c r="B19" s="529"/>
      <c r="C19" s="540"/>
      <c r="D19" s="531"/>
      <c r="E19" s="792"/>
    </row>
    <row r="20" spans="1:5" ht="12.75" customHeight="1" x14ac:dyDescent="0.25">
      <c r="A20" s="510" t="s">
        <v>755</v>
      </c>
      <c r="B20" s="793" t="s">
        <v>638</v>
      </c>
      <c r="C20" s="790"/>
      <c r="D20" s="797"/>
      <c r="E20" s="798"/>
    </row>
    <row r="21" spans="1:5" ht="12.75" customHeight="1" x14ac:dyDescent="0.25">
      <c r="A21" s="500" t="s">
        <v>756</v>
      </c>
      <c r="B21" s="96" t="s">
        <v>642</v>
      </c>
      <c r="C21" s="95"/>
      <c r="D21" s="100"/>
      <c r="E21" s="789">
        <f>+D21+C21</f>
        <v>0</v>
      </c>
    </row>
    <row r="22" spans="1:5" ht="12.75" customHeight="1" x14ac:dyDescent="0.25">
      <c r="A22" s="500" t="s">
        <v>757</v>
      </c>
      <c r="B22" s="96" t="s">
        <v>651</v>
      </c>
      <c r="C22" s="95"/>
      <c r="D22" s="100"/>
      <c r="E22" s="789">
        <f t="shared" ref="E22:E38" si="2">+D22+C22</f>
        <v>0</v>
      </c>
    </row>
    <row r="23" spans="1:5" s="139" customFormat="1" ht="25.5" customHeight="1" thickBot="1" x14ac:dyDescent="0.3">
      <c r="A23" s="528" t="s">
        <v>758</v>
      </c>
      <c r="B23" s="529" t="s">
        <v>648</v>
      </c>
      <c r="C23" s="530">
        <f>SUM(C21:C22)</f>
        <v>0</v>
      </c>
      <c r="D23" s="530">
        <f>SUM(D21:D22)</f>
        <v>0</v>
      </c>
      <c r="E23" s="792">
        <f t="shared" si="2"/>
        <v>0</v>
      </c>
    </row>
    <row r="24" spans="1:5" s="139" customFormat="1" ht="25.15" customHeight="1" x14ac:dyDescent="0.25">
      <c r="A24" s="510">
        <v>40</v>
      </c>
      <c r="B24" s="525"/>
      <c r="C24" s="521"/>
      <c r="D24" s="622"/>
      <c r="E24" s="860"/>
    </row>
    <row r="25" spans="1:5" s="139" customFormat="1" ht="12.75" customHeight="1" x14ac:dyDescent="0.25">
      <c r="A25" s="500">
        <v>41</v>
      </c>
      <c r="B25" s="96" t="s">
        <v>642</v>
      </c>
      <c r="C25" s="98"/>
      <c r="D25" s="99"/>
      <c r="E25" s="789">
        <f>+D25+C25</f>
        <v>0</v>
      </c>
    </row>
    <row r="26" spans="1:5" s="139" customFormat="1" ht="25.15" customHeight="1" thickBot="1" x14ac:dyDescent="0.3">
      <c r="A26" s="861">
        <v>43</v>
      </c>
      <c r="B26" s="517" t="s">
        <v>820</v>
      </c>
      <c r="C26" s="779">
        <f>+C25</f>
        <v>0</v>
      </c>
      <c r="D26" s="779">
        <f>+D25</f>
        <v>0</v>
      </c>
      <c r="E26" s="862">
        <f>+E25</f>
        <v>0</v>
      </c>
    </row>
    <row r="27" spans="1:5" s="87" customFormat="1" ht="12.75" customHeight="1" x14ac:dyDescent="0.25">
      <c r="A27" s="524" t="s">
        <v>759</v>
      </c>
      <c r="B27" s="543"/>
      <c r="C27" s="533"/>
      <c r="D27" s="544"/>
      <c r="E27" s="800">
        <f t="shared" si="2"/>
        <v>0</v>
      </c>
    </row>
    <row r="28" spans="1:5" s="87" customFormat="1" ht="12.75" customHeight="1" x14ac:dyDescent="0.25">
      <c r="A28" s="500" t="s">
        <v>760</v>
      </c>
      <c r="B28" s="96" t="s">
        <v>679</v>
      </c>
      <c r="C28" s="98"/>
      <c r="D28" s="99"/>
      <c r="E28" s="787">
        <f t="shared" si="2"/>
        <v>0</v>
      </c>
    </row>
    <row r="29" spans="1:5" s="87" customFormat="1" ht="12.75" customHeight="1" x14ac:dyDescent="0.25">
      <c r="A29" s="500"/>
      <c r="B29" s="96" t="s">
        <v>883</v>
      </c>
      <c r="C29" s="98">
        <v>544</v>
      </c>
      <c r="D29" s="99"/>
      <c r="E29" s="787">
        <f t="shared" si="2"/>
        <v>544</v>
      </c>
    </row>
    <row r="30" spans="1:5" s="87" customFormat="1" ht="12.75" customHeight="1" x14ac:dyDescent="0.25">
      <c r="A30" s="500" t="s">
        <v>761</v>
      </c>
      <c r="B30" s="143" t="s">
        <v>356</v>
      </c>
      <c r="C30" s="621">
        <f>SUM(C28:C29)</f>
        <v>544</v>
      </c>
      <c r="D30" s="621">
        <f>SUM(D28:D29)</f>
        <v>0</v>
      </c>
      <c r="E30" s="762">
        <f t="shared" si="2"/>
        <v>544</v>
      </c>
    </row>
    <row r="31" spans="1:5" x14ac:dyDescent="0.25">
      <c r="A31" s="500" t="s">
        <v>762</v>
      </c>
      <c r="B31" s="97"/>
      <c r="C31" s="98"/>
      <c r="D31" s="99"/>
      <c r="E31" s="787">
        <f t="shared" si="2"/>
        <v>0</v>
      </c>
    </row>
    <row r="32" spans="1:5" x14ac:dyDescent="0.25">
      <c r="A32" s="500" t="s">
        <v>763</v>
      </c>
      <c r="B32" s="536" t="s">
        <v>643</v>
      </c>
      <c r="C32" s="95"/>
      <c r="D32" s="100"/>
      <c r="E32" s="788">
        <f t="shared" si="2"/>
        <v>0</v>
      </c>
    </row>
    <row r="33" spans="1:5" x14ac:dyDescent="0.25">
      <c r="A33" s="500" t="s">
        <v>764</v>
      </c>
      <c r="B33" s="97"/>
      <c r="C33" s="98"/>
      <c r="D33" s="99"/>
      <c r="E33" s="787">
        <f t="shared" si="2"/>
        <v>0</v>
      </c>
    </row>
    <row r="34" spans="1:5" ht="12.75" customHeight="1" thickBot="1" x14ac:dyDescent="0.3">
      <c r="A34" s="528" t="s">
        <v>765</v>
      </c>
      <c r="B34" s="529" t="s">
        <v>357</v>
      </c>
      <c r="C34" s="530">
        <f>+C30+C32</f>
        <v>544</v>
      </c>
      <c r="D34" s="530">
        <f>+D30+D32</f>
        <v>0</v>
      </c>
      <c r="E34" s="795">
        <f t="shared" si="2"/>
        <v>544</v>
      </c>
    </row>
    <row r="35" spans="1:5" x14ac:dyDescent="0.25">
      <c r="A35" s="510" t="s">
        <v>766</v>
      </c>
      <c r="B35" s="541"/>
      <c r="C35" s="541"/>
      <c r="D35" s="542"/>
      <c r="E35" s="799">
        <f t="shared" si="2"/>
        <v>0</v>
      </c>
    </row>
    <row r="36" spans="1:5" x14ac:dyDescent="0.25">
      <c r="A36" s="500" t="s">
        <v>767</v>
      </c>
      <c r="B36" s="101" t="s">
        <v>646</v>
      </c>
      <c r="C36" s="95"/>
      <c r="D36" s="100"/>
      <c r="E36" s="788">
        <f t="shared" si="2"/>
        <v>0</v>
      </c>
    </row>
    <row r="37" spans="1:5" x14ac:dyDescent="0.25">
      <c r="A37" s="500" t="s">
        <v>768</v>
      </c>
      <c r="B37" s="97"/>
      <c r="C37" s="98"/>
      <c r="D37" s="99"/>
      <c r="E37" s="787">
        <f t="shared" si="2"/>
        <v>0</v>
      </c>
    </row>
    <row r="38" spans="1:5" x14ac:dyDescent="0.25">
      <c r="A38" s="500" t="s">
        <v>769</v>
      </c>
      <c r="B38" s="101" t="s">
        <v>358</v>
      </c>
      <c r="C38" s="138">
        <f t="shared" ref="C38" si="3">SUM(C37:C37)</f>
        <v>0</v>
      </c>
      <c r="D38" s="138"/>
      <c r="E38" s="786">
        <f t="shared" si="2"/>
        <v>0</v>
      </c>
    </row>
    <row r="39" spans="1:5" ht="15.75" thickBot="1" x14ac:dyDescent="0.3">
      <c r="A39" s="528" t="s">
        <v>770</v>
      </c>
      <c r="B39" s="368" t="s">
        <v>647</v>
      </c>
      <c r="C39" s="369">
        <f>+C23+C34+C16+C9+C26</f>
        <v>31037</v>
      </c>
      <c r="D39" s="369">
        <f>+D23+D34+D16+D9+D26</f>
        <v>0</v>
      </c>
      <c r="E39" s="369">
        <f>+E23+E34+E16+E9+E26</f>
        <v>31037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E26" sqref="E26"/>
    </sheetView>
  </sheetViews>
  <sheetFormatPr defaultColWidth="9.140625" defaultRowHeight="15" x14ac:dyDescent="0.25"/>
  <cols>
    <col min="1" max="1" width="7.85546875" style="616" bestFit="1" customWidth="1"/>
    <col min="2" max="2" width="29.5703125" style="616" customWidth="1"/>
    <col min="3" max="3" width="13" style="616" customWidth="1"/>
    <col min="4" max="4" width="13.5703125" style="616" customWidth="1"/>
    <col min="5" max="5" width="13.7109375" style="616" customWidth="1"/>
    <col min="6" max="16384" width="9.140625" style="616"/>
  </cols>
  <sheetData>
    <row r="1" spans="1:5" ht="15.75" thickBot="1" x14ac:dyDescent="0.3"/>
    <row r="2" spans="1:5" ht="15" customHeight="1" x14ac:dyDescent="0.25">
      <c r="A2" s="1441" t="s">
        <v>359</v>
      </c>
      <c r="B2" s="1443" t="s">
        <v>279</v>
      </c>
      <c r="C2" s="1445" t="s">
        <v>869</v>
      </c>
      <c r="D2" s="1445" t="s">
        <v>870</v>
      </c>
      <c r="E2" s="1445" t="s">
        <v>871</v>
      </c>
    </row>
    <row r="3" spans="1:5" x14ac:dyDescent="0.25">
      <c r="A3" s="1442"/>
      <c r="B3" s="1444"/>
      <c r="C3" s="1446"/>
      <c r="D3" s="1446"/>
      <c r="E3" s="1446"/>
    </row>
    <row r="4" spans="1:5" x14ac:dyDescent="0.25">
      <c r="A4" s="1442"/>
      <c r="B4" s="1444"/>
      <c r="C4" s="1446"/>
      <c r="D4" s="1446"/>
      <c r="E4" s="1446"/>
    </row>
    <row r="5" spans="1:5" x14ac:dyDescent="0.25">
      <c r="A5" s="1442"/>
      <c r="B5" s="1444"/>
      <c r="C5" s="1446"/>
      <c r="D5" s="1446"/>
      <c r="E5" s="1446"/>
    </row>
    <row r="6" spans="1:5" x14ac:dyDescent="0.25">
      <c r="A6" s="925" t="s">
        <v>301</v>
      </c>
      <c r="B6" s="926" t="s">
        <v>308</v>
      </c>
      <c r="C6" s="927" t="s">
        <v>302</v>
      </c>
      <c r="D6" s="927" t="s">
        <v>303</v>
      </c>
      <c r="E6" s="927" t="s">
        <v>304</v>
      </c>
    </row>
    <row r="7" spans="1:5" x14ac:dyDescent="0.25">
      <c r="A7" s="617">
        <v>1</v>
      </c>
      <c r="B7" s="108" t="s">
        <v>263</v>
      </c>
      <c r="C7" s="626">
        <v>3</v>
      </c>
      <c r="D7" s="626">
        <v>3</v>
      </c>
      <c r="E7" s="626">
        <v>3</v>
      </c>
    </row>
    <row r="8" spans="1:5" x14ac:dyDescent="0.25">
      <c r="A8" s="617">
        <v>2</v>
      </c>
      <c r="B8" s="108" t="s">
        <v>360</v>
      </c>
      <c r="C8" s="626"/>
      <c r="D8" s="626"/>
      <c r="E8" s="626"/>
    </row>
    <row r="9" spans="1:5" x14ac:dyDescent="0.25">
      <c r="A9" s="617">
        <v>3</v>
      </c>
      <c r="B9" s="942" t="s">
        <v>289</v>
      </c>
      <c r="C9" s="943">
        <v>35.5</v>
      </c>
      <c r="D9" s="943">
        <v>35.5</v>
      </c>
      <c r="E9" s="944">
        <v>35.5</v>
      </c>
    </row>
    <row r="10" spans="1:5" x14ac:dyDescent="0.25">
      <c r="A10" s="617">
        <v>4</v>
      </c>
      <c r="B10" s="108" t="s">
        <v>379</v>
      </c>
      <c r="C10" s="627" t="s">
        <v>628</v>
      </c>
      <c r="D10" s="627" t="s">
        <v>628</v>
      </c>
      <c r="E10" s="627" t="s">
        <v>628</v>
      </c>
    </row>
    <row r="11" spans="1:5" x14ac:dyDescent="0.25">
      <c r="A11" s="617">
        <v>5</v>
      </c>
      <c r="B11" s="108" t="s">
        <v>584</v>
      </c>
      <c r="C11" s="626"/>
      <c r="D11" s="626"/>
      <c r="E11" s="626"/>
    </row>
    <row r="12" spans="1:5" x14ac:dyDescent="0.25">
      <c r="A12" s="617">
        <v>6</v>
      </c>
      <c r="B12" s="108" t="s">
        <v>362</v>
      </c>
      <c r="C12" s="626">
        <v>3</v>
      </c>
      <c r="D12" s="626">
        <v>3</v>
      </c>
      <c r="E12" s="626">
        <v>3</v>
      </c>
    </row>
    <row r="13" spans="1:5" x14ac:dyDescent="0.25">
      <c r="A13" s="617">
        <v>7</v>
      </c>
      <c r="B13" s="108" t="s">
        <v>363</v>
      </c>
      <c r="C13" s="626">
        <v>1</v>
      </c>
      <c r="D13" s="626">
        <v>1</v>
      </c>
      <c r="E13" s="626">
        <v>1</v>
      </c>
    </row>
    <row r="14" spans="1:5" ht="15.75" thickBot="1" x14ac:dyDescent="0.3">
      <c r="A14" s="618">
        <v>8</v>
      </c>
      <c r="B14" s="619" t="s">
        <v>364</v>
      </c>
      <c r="C14" s="628">
        <f>SUM(C9:C13)+C7</f>
        <v>42.5</v>
      </c>
      <c r="D14" s="628">
        <f t="shared" ref="D14:E14" si="0">SUM(D9:D13)+D7</f>
        <v>42.5</v>
      </c>
      <c r="E14" s="628">
        <f t="shared" si="0"/>
        <v>42.5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2021.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N4" sqref="N4:T7"/>
    </sheetView>
  </sheetViews>
  <sheetFormatPr defaultRowHeight="15" x14ac:dyDescent="0.25"/>
  <cols>
    <col min="2" max="2" width="53.7109375" customWidth="1"/>
    <col min="4" max="4" width="6.7109375" customWidth="1"/>
  </cols>
  <sheetData>
    <row r="1" spans="1:22" ht="15" customHeight="1" x14ac:dyDescent="0.25">
      <c r="A1" s="1447" t="s">
        <v>345</v>
      </c>
      <c r="B1" s="1449" t="s">
        <v>686</v>
      </c>
      <c r="C1" s="1452" t="s">
        <v>306</v>
      </c>
      <c r="D1" s="1452"/>
      <c r="E1" s="1452"/>
      <c r="F1" s="1452"/>
      <c r="G1" s="1452"/>
      <c r="H1" s="1452"/>
      <c r="I1" s="1452"/>
      <c r="J1" s="1452"/>
      <c r="K1" s="1453" t="s">
        <v>285</v>
      </c>
      <c r="L1" s="1452" t="s">
        <v>299</v>
      </c>
      <c r="M1" s="1452"/>
      <c r="N1" s="1452"/>
      <c r="O1" s="1452"/>
      <c r="P1" s="1452"/>
      <c r="Q1" s="1452"/>
      <c r="R1" s="1452"/>
      <c r="S1" s="1452"/>
      <c r="T1" s="1455"/>
      <c r="U1" s="1463" t="s">
        <v>687</v>
      </c>
      <c r="V1" s="1456" t="s">
        <v>710</v>
      </c>
    </row>
    <row r="2" spans="1:22" ht="31.5" customHeight="1" x14ac:dyDescent="0.25">
      <c r="A2" s="1448"/>
      <c r="B2" s="1450"/>
      <c r="C2" s="1458" t="s">
        <v>711</v>
      </c>
      <c r="D2" s="1458" t="s">
        <v>712</v>
      </c>
      <c r="E2" s="1458" t="s">
        <v>151</v>
      </c>
      <c r="F2" s="1458" t="s">
        <v>163</v>
      </c>
      <c r="G2" s="1459"/>
      <c r="H2" s="1458" t="s">
        <v>691</v>
      </c>
      <c r="I2" s="1458" t="s">
        <v>642</v>
      </c>
      <c r="J2" s="1458" t="s">
        <v>713</v>
      </c>
      <c r="K2" s="1454"/>
      <c r="L2" s="1458" t="s">
        <v>699</v>
      </c>
      <c r="M2" s="1458" t="s">
        <v>700</v>
      </c>
      <c r="N2" s="1458" t="s">
        <v>695</v>
      </c>
      <c r="O2" s="1458" t="s">
        <v>714</v>
      </c>
      <c r="P2" s="1459"/>
      <c r="Q2" s="1460" t="s">
        <v>715</v>
      </c>
      <c r="R2" s="1458" t="s">
        <v>716</v>
      </c>
      <c r="S2" s="1459"/>
      <c r="T2" s="1460" t="s">
        <v>724</v>
      </c>
      <c r="U2" s="1464"/>
      <c r="V2" s="1457"/>
    </row>
    <row r="3" spans="1:22" ht="25.5" customHeight="1" x14ac:dyDescent="0.25">
      <c r="A3" s="1448"/>
      <c r="B3" s="1451"/>
      <c r="C3" s="1458"/>
      <c r="D3" s="1458"/>
      <c r="E3" s="1458"/>
      <c r="F3" s="854" t="s">
        <v>708</v>
      </c>
      <c r="G3" s="854" t="s">
        <v>709</v>
      </c>
      <c r="H3" s="1458"/>
      <c r="I3" s="1458"/>
      <c r="J3" s="1458"/>
      <c r="K3" s="1454"/>
      <c r="L3" s="1458"/>
      <c r="M3" s="1458"/>
      <c r="N3" s="1458"/>
      <c r="O3" s="854" t="s">
        <v>717</v>
      </c>
      <c r="P3" s="854" t="s">
        <v>718</v>
      </c>
      <c r="Q3" s="1461"/>
      <c r="R3" s="854" t="s">
        <v>717</v>
      </c>
      <c r="S3" s="854" t="s">
        <v>718</v>
      </c>
      <c r="T3" s="1462"/>
      <c r="U3" s="1464"/>
      <c r="V3" s="1457"/>
    </row>
    <row r="4" spans="1:22" ht="23.25" customHeight="1" x14ac:dyDescent="0.25">
      <c r="A4" s="855" t="s">
        <v>305</v>
      </c>
      <c r="B4" s="678"/>
      <c r="C4" s="680"/>
      <c r="D4" s="680"/>
      <c r="E4" s="686"/>
      <c r="F4" s="680"/>
      <c r="G4" s="680"/>
      <c r="H4" s="680"/>
      <c r="I4" s="680"/>
      <c r="J4" s="680"/>
      <c r="K4" s="681">
        <f t="shared" ref="K4:K9" si="0">SUM(C4:J4)</f>
        <v>0</v>
      </c>
      <c r="L4" s="680"/>
      <c r="M4" s="680"/>
      <c r="N4" s="680"/>
      <c r="O4" s="680"/>
      <c r="P4" s="680"/>
      <c r="Q4" s="680"/>
      <c r="R4" s="680"/>
      <c r="S4" s="680"/>
      <c r="T4" s="682"/>
      <c r="U4" s="918"/>
      <c r="V4" s="683">
        <f>SUM(L4:U4)</f>
        <v>0</v>
      </c>
    </row>
    <row r="5" spans="1:22" x14ac:dyDescent="0.25">
      <c r="A5" s="855" t="s">
        <v>393</v>
      </c>
      <c r="B5" s="685"/>
      <c r="C5" s="680"/>
      <c r="D5" s="680"/>
      <c r="E5" s="686"/>
      <c r="F5" s="680"/>
      <c r="G5" s="680"/>
      <c r="H5" s="680"/>
      <c r="I5" s="680"/>
      <c r="J5" s="680"/>
      <c r="K5" s="681">
        <f t="shared" si="0"/>
        <v>0</v>
      </c>
      <c r="L5" s="680"/>
      <c r="M5" s="680"/>
      <c r="N5" s="680"/>
      <c r="O5" s="680"/>
      <c r="P5" s="680"/>
      <c r="Q5" s="680"/>
      <c r="R5" s="680"/>
      <c r="S5" s="680"/>
      <c r="T5" s="682"/>
      <c r="U5" s="918"/>
      <c r="V5" s="683">
        <f t="shared" ref="V5:V9" si="1">SUM(L5:U5)</f>
        <v>0</v>
      </c>
    </row>
    <row r="6" spans="1:22" x14ac:dyDescent="0.25">
      <c r="A6" s="855" t="s">
        <v>449</v>
      </c>
      <c r="B6" s="685"/>
      <c r="C6" s="680"/>
      <c r="D6" s="680"/>
      <c r="E6" s="686"/>
      <c r="F6" s="680"/>
      <c r="G6" s="680"/>
      <c r="H6" s="680"/>
      <c r="I6" s="680"/>
      <c r="J6" s="680"/>
      <c r="K6" s="681">
        <f t="shared" si="0"/>
        <v>0</v>
      </c>
      <c r="L6" s="680"/>
      <c r="M6" s="680"/>
      <c r="N6" s="680"/>
      <c r="O6" s="680"/>
      <c r="P6" s="680"/>
      <c r="Q6" s="680"/>
      <c r="R6" s="680"/>
      <c r="S6" s="680"/>
      <c r="T6" s="682"/>
      <c r="U6" s="918"/>
      <c r="V6" s="683">
        <f t="shared" si="1"/>
        <v>0</v>
      </c>
    </row>
    <row r="7" spans="1:22" x14ac:dyDescent="0.25">
      <c r="A7" s="855" t="s">
        <v>450</v>
      </c>
      <c r="B7" s="685"/>
      <c r="C7" s="680"/>
      <c r="D7" s="680"/>
      <c r="E7" s="686"/>
      <c r="F7" s="680"/>
      <c r="G7" s="680"/>
      <c r="H7" s="680"/>
      <c r="I7" s="680"/>
      <c r="J7" s="680"/>
      <c r="K7" s="681">
        <f t="shared" si="0"/>
        <v>0</v>
      </c>
      <c r="L7" s="680"/>
      <c r="M7" s="680"/>
      <c r="N7" s="680"/>
      <c r="O7" s="680"/>
      <c r="P7" s="680"/>
      <c r="Q7" s="680"/>
      <c r="R7" s="680"/>
      <c r="S7" s="680"/>
      <c r="T7" s="682"/>
      <c r="U7" s="918"/>
      <c r="V7" s="683">
        <f t="shared" si="1"/>
        <v>0</v>
      </c>
    </row>
    <row r="8" spans="1:22" x14ac:dyDescent="0.25">
      <c r="A8" s="855" t="s">
        <v>451</v>
      </c>
      <c r="B8" s="678"/>
      <c r="C8" s="686"/>
      <c r="D8" s="686"/>
      <c r="E8" s="686"/>
      <c r="F8" s="686"/>
      <c r="G8" s="686"/>
      <c r="H8" s="686"/>
      <c r="I8" s="686"/>
      <c r="J8" s="686"/>
      <c r="K8" s="681">
        <f t="shared" si="0"/>
        <v>0</v>
      </c>
      <c r="L8" s="686"/>
      <c r="M8" s="686"/>
      <c r="N8" s="686"/>
      <c r="O8" s="686"/>
      <c r="P8" s="686"/>
      <c r="Q8" s="686"/>
      <c r="R8" s="686"/>
      <c r="S8" s="686"/>
      <c r="T8" s="687"/>
      <c r="U8" s="679"/>
      <c r="V8" s="683">
        <f t="shared" si="1"/>
        <v>0</v>
      </c>
    </row>
    <row r="9" spans="1:22" x14ac:dyDescent="0.25">
      <c r="A9" s="855" t="s">
        <v>452</v>
      </c>
      <c r="B9" s="685"/>
      <c r="C9" s="686"/>
      <c r="D9" s="686"/>
      <c r="E9" s="686"/>
      <c r="F9" s="686"/>
      <c r="G9" s="686"/>
      <c r="H9" s="686"/>
      <c r="I9" s="686"/>
      <c r="J9" s="686"/>
      <c r="K9" s="681">
        <f t="shared" si="0"/>
        <v>0</v>
      </c>
      <c r="L9" s="686"/>
      <c r="M9" s="686"/>
      <c r="N9" s="686"/>
      <c r="O9" s="686"/>
      <c r="P9" s="686"/>
      <c r="Q9" s="686"/>
      <c r="R9" s="686"/>
      <c r="S9" s="686"/>
      <c r="T9" s="687"/>
      <c r="U9" s="679"/>
      <c r="V9" s="683">
        <f t="shared" si="1"/>
        <v>0</v>
      </c>
    </row>
    <row r="10" spans="1:22" x14ac:dyDescent="0.25">
      <c r="A10" s="855" t="s">
        <v>454</v>
      </c>
      <c r="B10" s="685"/>
      <c r="C10" s="686"/>
      <c r="D10" s="686"/>
      <c r="E10" s="686"/>
      <c r="F10" s="686"/>
      <c r="G10" s="686"/>
      <c r="H10" s="686"/>
      <c r="I10" s="686"/>
      <c r="J10" s="686"/>
      <c r="K10" s="681">
        <f>C10+D10+E10++F10+G10+H10+I10+J10</f>
        <v>0</v>
      </c>
      <c r="L10" s="686"/>
      <c r="M10" s="686"/>
      <c r="N10" s="686"/>
      <c r="O10" s="686"/>
      <c r="P10" s="686"/>
      <c r="Q10" s="686"/>
      <c r="R10" s="686"/>
      <c r="S10" s="686"/>
      <c r="T10" s="687"/>
      <c r="U10" s="679"/>
      <c r="V10" s="683">
        <f t="shared" ref="V10:V13" si="2">SUM(L10:U10)</f>
        <v>0</v>
      </c>
    </row>
    <row r="11" spans="1:22" x14ac:dyDescent="0.25">
      <c r="A11" s="855" t="s">
        <v>455</v>
      </c>
      <c r="B11" s="685"/>
      <c r="C11" s="686"/>
      <c r="D11" s="686"/>
      <c r="E11" s="686"/>
      <c r="F11" s="686"/>
      <c r="G11" s="686"/>
      <c r="H11" s="686"/>
      <c r="I11" s="686"/>
      <c r="J11" s="686"/>
      <c r="K11" s="681">
        <f>C11+D11+E11++F11+G11+H11+I11+J11</f>
        <v>0</v>
      </c>
      <c r="L11" s="686"/>
      <c r="M11" s="686"/>
      <c r="N11" s="686"/>
      <c r="O11" s="686"/>
      <c r="P11" s="686"/>
      <c r="Q11" s="686"/>
      <c r="R11" s="686"/>
      <c r="S11" s="686"/>
      <c r="T11" s="687"/>
      <c r="U11" s="679"/>
      <c r="V11" s="683">
        <f t="shared" si="2"/>
        <v>0</v>
      </c>
    </row>
    <row r="12" spans="1:22" x14ac:dyDescent="0.25">
      <c r="A12" s="855"/>
      <c r="B12" s="685"/>
      <c r="C12" s="686"/>
      <c r="D12" s="686"/>
      <c r="E12" s="686"/>
      <c r="F12" s="686"/>
      <c r="G12" s="686"/>
      <c r="H12" s="686"/>
      <c r="I12" s="686"/>
      <c r="J12" s="686"/>
      <c r="K12" s="681">
        <f>C12+D12+E12++F12+G12+H12+I12+J12</f>
        <v>0</v>
      </c>
      <c r="L12" s="686"/>
      <c r="M12" s="686"/>
      <c r="N12" s="686"/>
      <c r="O12" s="686"/>
      <c r="P12" s="686"/>
      <c r="Q12" s="686"/>
      <c r="R12" s="686"/>
      <c r="S12" s="686"/>
      <c r="T12" s="687"/>
      <c r="U12" s="679"/>
      <c r="V12" s="683">
        <f t="shared" si="2"/>
        <v>0</v>
      </c>
    </row>
    <row r="13" spans="1:22" x14ac:dyDescent="0.25">
      <c r="A13" s="855"/>
      <c r="B13" s="685"/>
      <c r="C13" s="686"/>
      <c r="D13" s="686"/>
      <c r="E13" s="686"/>
      <c r="F13" s="686"/>
      <c r="G13" s="686"/>
      <c r="H13" s="686"/>
      <c r="I13" s="686"/>
      <c r="J13" s="686"/>
      <c r="K13" s="681">
        <f>C13+D13+E13++F13+G13+H13+I13+J13</f>
        <v>0</v>
      </c>
      <c r="L13" s="686"/>
      <c r="M13" s="686"/>
      <c r="N13" s="686"/>
      <c r="O13" s="686"/>
      <c r="P13" s="686"/>
      <c r="Q13" s="686"/>
      <c r="R13" s="686"/>
      <c r="S13" s="686"/>
      <c r="T13" s="687"/>
      <c r="U13" s="679"/>
      <c r="V13" s="681">
        <f t="shared" si="2"/>
        <v>0</v>
      </c>
    </row>
    <row r="14" spans="1:22" ht="15.75" thickBot="1" x14ac:dyDescent="0.3">
      <c r="A14" s="666"/>
      <c r="B14" s="824" t="s">
        <v>180</v>
      </c>
      <c r="C14" s="825">
        <f t="shared" ref="C14:J14" si="3">SUM(C4:C13)</f>
        <v>0</v>
      </c>
      <c r="D14" s="825">
        <f t="shared" si="3"/>
        <v>0</v>
      </c>
      <c r="E14" s="825">
        <f t="shared" si="3"/>
        <v>0</v>
      </c>
      <c r="F14" s="825">
        <f t="shared" si="3"/>
        <v>0</v>
      </c>
      <c r="G14" s="825">
        <f t="shared" si="3"/>
        <v>0</v>
      </c>
      <c r="H14" s="825">
        <f t="shared" si="3"/>
        <v>0</v>
      </c>
      <c r="I14" s="825">
        <f t="shared" si="3"/>
        <v>0</v>
      </c>
      <c r="J14" s="825">
        <f t="shared" si="3"/>
        <v>0</v>
      </c>
      <c r="K14" s="681">
        <f>C14+D14+E14++F14+G14+H14+I14+J14</f>
        <v>0</v>
      </c>
      <c r="L14" s="825">
        <f>SUM(L4:L13)</f>
        <v>0</v>
      </c>
      <c r="M14" s="825">
        <f t="shared" ref="M14:V14" si="4">SUM(M4:M13)</f>
        <v>0</v>
      </c>
      <c r="N14" s="825">
        <f t="shared" si="4"/>
        <v>0</v>
      </c>
      <c r="O14" s="825">
        <f t="shared" si="4"/>
        <v>0</v>
      </c>
      <c r="P14" s="825">
        <f t="shared" si="4"/>
        <v>0</v>
      </c>
      <c r="Q14" s="825">
        <f t="shared" si="4"/>
        <v>0</v>
      </c>
      <c r="R14" s="825">
        <f t="shared" si="4"/>
        <v>0</v>
      </c>
      <c r="S14" s="825">
        <f t="shared" si="4"/>
        <v>0</v>
      </c>
      <c r="T14" s="825">
        <f t="shared" si="4"/>
        <v>0</v>
      </c>
      <c r="U14" s="825">
        <f t="shared" si="4"/>
        <v>0</v>
      </c>
      <c r="V14" s="681">
        <f t="shared" si="4"/>
        <v>0</v>
      </c>
    </row>
    <row r="15" spans="1:22" x14ac:dyDescent="0.25">
      <c r="A15" s="644"/>
      <c r="B15" s="644"/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</row>
  </sheetData>
  <mergeCells count="21"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U1:U3"/>
    <mergeCell ref="A1:A3"/>
    <mergeCell ref="B1:B3"/>
    <mergeCell ref="C1:J1"/>
    <mergeCell ref="K1:K3"/>
    <mergeCell ref="L1:T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&amp;C&amp;"Times New Roman,Félkövér"&amp;12Martonvásár Város Önkormányzatának 2020. évi költségvetés módosításainak részletezése
Brunszvik Beethoven Kultúrális Központ&amp;R&amp;"Times New Roman,Félkövér"&amp;12 12.d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B40" sqref="B40"/>
    </sheetView>
  </sheetViews>
  <sheetFormatPr defaultColWidth="9.140625" defaultRowHeight="15" x14ac:dyDescent="0.25"/>
  <cols>
    <col min="1" max="1" width="5.85546875" style="198" customWidth="1"/>
    <col min="2" max="2" width="42.5703125" style="199" customWidth="1"/>
    <col min="3" max="8" width="11" style="199" customWidth="1"/>
    <col min="9" max="9" width="12.140625" style="199" customWidth="1"/>
    <col min="10" max="10" width="13.28515625" style="199" customWidth="1"/>
    <col min="11" max="16384" width="9.140625" style="199"/>
  </cols>
  <sheetData>
    <row r="1" spans="1:11" s="234" customFormat="1" ht="26.25" customHeight="1" thickBot="1" x14ac:dyDescent="0.3">
      <c r="A1" s="198"/>
      <c r="B1" s="199"/>
      <c r="C1" s="199"/>
      <c r="D1" s="199"/>
      <c r="E1" s="199"/>
      <c r="F1" s="199"/>
      <c r="G1" s="199"/>
      <c r="H1" s="199"/>
      <c r="I1" s="199"/>
      <c r="J1" s="233" t="s">
        <v>448</v>
      </c>
    </row>
    <row r="2" spans="1:11" s="235" customFormat="1" ht="32.25" customHeight="1" thickBot="1" x14ac:dyDescent="0.3">
      <c r="A2" s="1472" t="s">
        <v>463</v>
      </c>
      <c r="B2" s="1474" t="s">
        <v>464</v>
      </c>
      <c r="C2" s="1472" t="s">
        <v>465</v>
      </c>
      <c r="D2" s="1472" t="s">
        <v>466</v>
      </c>
      <c r="E2" s="1465" t="s">
        <v>467</v>
      </c>
      <c r="F2" s="1466"/>
      <c r="G2" s="1466"/>
      <c r="H2" s="1466"/>
      <c r="I2" s="1467"/>
      <c r="J2" s="1468" t="s">
        <v>180</v>
      </c>
    </row>
    <row r="3" spans="1:11" s="239" customFormat="1" ht="37.5" customHeight="1" thickBot="1" x14ac:dyDescent="0.3">
      <c r="A3" s="1473"/>
      <c r="B3" s="1475"/>
      <c r="C3" s="1469"/>
      <c r="D3" s="1473"/>
      <c r="E3" s="236" t="s">
        <v>468</v>
      </c>
      <c r="F3" s="237" t="s">
        <v>469</v>
      </c>
      <c r="G3" s="237" t="s">
        <v>470</v>
      </c>
      <c r="H3" s="237" t="s">
        <v>471</v>
      </c>
      <c r="I3" s="238" t="s">
        <v>558</v>
      </c>
      <c r="J3" s="1469"/>
    </row>
    <row r="4" spans="1:11" ht="20.100000000000001" customHeight="1" x14ac:dyDescent="0.25">
      <c r="A4" s="240">
        <v>1</v>
      </c>
      <c r="B4" s="241">
        <v>2</v>
      </c>
      <c r="C4" s="240">
        <v>3</v>
      </c>
      <c r="D4" s="240">
        <v>4</v>
      </c>
      <c r="E4" s="242">
        <v>5</v>
      </c>
      <c r="F4" s="243">
        <v>6</v>
      </c>
      <c r="G4" s="243">
        <v>7</v>
      </c>
      <c r="H4" s="243">
        <v>8</v>
      </c>
      <c r="I4" s="244">
        <v>9</v>
      </c>
      <c r="J4" s="240" t="s">
        <v>472</v>
      </c>
    </row>
    <row r="5" spans="1:11" s="253" customFormat="1" ht="20.100000000000001" customHeight="1" x14ac:dyDescent="0.25">
      <c r="A5" s="245" t="s">
        <v>305</v>
      </c>
      <c r="B5" s="246" t="s">
        <v>473</v>
      </c>
      <c r="C5" s="247"/>
      <c r="D5" s="248"/>
      <c r="E5" s="249">
        <f>SUM(E6:E6)</f>
        <v>0</v>
      </c>
      <c r="F5" s="250"/>
      <c r="G5" s="250"/>
      <c r="H5" s="250"/>
      <c r="I5" s="251"/>
      <c r="J5" s="252"/>
    </row>
    <row r="6" spans="1:11" ht="20.100000000000001" customHeight="1" x14ac:dyDescent="0.25">
      <c r="A6" s="245" t="s">
        <v>393</v>
      </c>
      <c r="B6" s="254"/>
      <c r="C6" s="255"/>
      <c r="D6" s="256"/>
      <c r="E6" s="257"/>
      <c r="F6" s="258"/>
      <c r="G6" s="258"/>
      <c r="H6" s="258"/>
      <c r="I6" s="259"/>
      <c r="J6" s="252"/>
    </row>
    <row r="7" spans="1:11" ht="20.100000000000001" customHeight="1" x14ac:dyDescent="0.25">
      <c r="A7" s="245" t="s">
        <v>449</v>
      </c>
      <c r="B7" s="260"/>
      <c r="C7" s="261"/>
      <c r="D7" s="256"/>
      <c r="E7" s="257"/>
      <c r="F7" s="258"/>
      <c r="G7" s="258"/>
      <c r="H7" s="258"/>
      <c r="I7" s="259"/>
      <c r="J7" s="252"/>
    </row>
    <row r="8" spans="1:11" ht="20.100000000000001" customHeight="1" x14ac:dyDescent="0.25">
      <c r="A8" s="245" t="s">
        <v>450</v>
      </c>
      <c r="B8" s="260"/>
      <c r="C8" s="261"/>
      <c r="D8" s="256"/>
      <c r="E8" s="257"/>
      <c r="F8" s="258"/>
      <c r="G8" s="258"/>
      <c r="H8" s="258"/>
      <c r="I8" s="259"/>
      <c r="J8" s="252"/>
    </row>
    <row r="9" spans="1:11" s="253" customFormat="1" ht="20.100000000000001" customHeight="1" x14ac:dyDescent="0.25">
      <c r="A9" s="245" t="s">
        <v>451</v>
      </c>
      <c r="B9" s="262" t="s">
        <v>474</v>
      </c>
      <c r="C9" s="263"/>
      <c r="D9" s="248">
        <f t="shared" ref="D9:J9" si="0">SUM(D10:D11)</f>
        <v>0</v>
      </c>
      <c r="E9" s="249">
        <f t="shared" si="0"/>
        <v>0</v>
      </c>
      <c r="F9" s="250">
        <f t="shared" si="0"/>
        <v>0</v>
      </c>
      <c r="G9" s="250">
        <f t="shared" si="0"/>
        <v>0</v>
      </c>
      <c r="H9" s="250">
        <f t="shared" si="0"/>
        <v>0</v>
      </c>
      <c r="I9" s="251">
        <f t="shared" si="0"/>
        <v>0</v>
      </c>
      <c r="J9" s="248">
        <f t="shared" si="0"/>
        <v>0</v>
      </c>
    </row>
    <row r="10" spans="1:11" ht="20.100000000000001" customHeight="1" x14ac:dyDescent="0.25">
      <c r="A10" s="245" t="s">
        <v>452</v>
      </c>
      <c r="B10" s="254"/>
      <c r="C10" s="255"/>
      <c r="D10" s="256">
        <v>0</v>
      </c>
      <c r="E10" s="257">
        <v>0</v>
      </c>
      <c r="F10" s="258">
        <v>0</v>
      </c>
      <c r="G10" s="258">
        <v>0</v>
      </c>
      <c r="H10" s="258">
        <v>0</v>
      </c>
      <c r="I10" s="259">
        <v>0</v>
      </c>
      <c r="J10" s="252">
        <f>SUM(D10:I10)</f>
        <v>0</v>
      </c>
    </row>
    <row r="11" spans="1:11" ht="20.100000000000001" customHeight="1" x14ac:dyDescent="0.25">
      <c r="A11" s="245" t="s">
        <v>453</v>
      </c>
      <c r="B11" s="254"/>
      <c r="C11" s="255"/>
      <c r="D11" s="256"/>
      <c r="E11" s="257"/>
      <c r="F11" s="258"/>
      <c r="G11" s="258"/>
      <c r="H11" s="258"/>
      <c r="I11" s="259"/>
      <c r="J11" s="252">
        <f>SUM(D11:I11)</f>
        <v>0</v>
      </c>
      <c r="K11" s="264"/>
    </row>
    <row r="12" spans="1:11" ht="19.5" customHeight="1" x14ac:dyDescent="0.25">
      <c r="A12" s="245" t="s">
        <v>454</v>
      </c>
      <c r="B12" s="254"/>
      <c r="C12" s="255"/>
      <c r="D12" s="256"/>
      <c r="E12" s="257"/>
      <c r="F12" s="258"/>
      <c r="G12" s="258"/>
      <c r="H12" s="258"/>
      <c r="I12" s="259"/>
      <c r="J12" s="252"/>
    </row>
    <row r="13" spans="1:11" ht="20.100000000000001" customHeight="1" x14ac:dyDescent="0.25">
      <c r="A13" s="245" t="s">
        <v>455</v>
      </c>
      <c r="B13" s="265"/>
      <c r="C13" s="266"/>
      <c r="D13" s="267"/>
      <c r="E13" s="268"/>
      <c r="F13" s="269"/>
      <c r="G13" s="269"/>
      <c r="H13" s="269"/>
      <c r="I13" s="270"/>
      <c r="J13" s="252"/>
    </row>
    <row r="14" spans="1:11" s="253" customFormat="1" ht="12.75" x14ac:dyDescent="0.25">
      <c r="A14" s="245" t="s">
        <v>456</v>
      </c>
      <c r="B14" s="271" t="s">
        <v>475</v>
      </c>
      <c r="C14" s="263"/>
      <c r="D14" s="272">
        <f>+D15+D16</f>
        <v>0</v>
      </c>
      <c r="E14" s="272">
        <f t="shared" ref="E14:J14" si="1">+E15+E16</f>
        <v>0</v>
      </c>
      <c r="F14" s="272">
        <f t="shared" si="1"/>
        <v>0</v>
      </c>
      <c r="G14" s="272">
        <f t="shared" si="1"/>
        <v>0</v>
      </c>
      <c r="H14" s="272">
        <f t="shared" si="1"/>
        <v>0</v>
      </c>
      <c r="I14" s="272">
        <f t="shared" si="1"/>
        <v>0</v>
      </c>
      <c r="J14" s="272">
        <f t="shared" si="1"/>
        <v>0</v>
      </c>
    </row>
    <row r="15" spans="1:11" s="277" customFormat="1" x14ac:dyDescent="0.25">
      <c r="A15" s="245"/>
      <c r="B15" s="480"/>
      <c r="C15" s="273"/>
      <c r="D15" s="274"/>
      <c r="E15" s="275"/>
      <c r="F15" s="200"/>
      <c r="G15" s="200"/>
      <c r="H15" s="200"/>
      <c r="I15" s="276"/>
      <c r="J15" s="252"/>
    </row>
    <row r="16" spans="1:11" ht="15.75" thickBot="1" x14ac:dyDescent="0.3">
      <c r="A16" s="278"/>
      <c r="B16" s="480"/>
      <c r="C16" s="273"/>
      <c r="D16" s="279"/>
      <c r="E16" s="280"/>
      <c r="F16" s="281"/>
      <c r="G16" s="281"/>
      <c r="H16" s="281"/>
      <c r="I16" s="282"/>
      <c r="J16" s="252"/>
    </row>
    <row r="17" spans="1:10" s="253" customFormat="1" ht="13.5" thickBot="1" x14ac:dyDescent="0.3">
      <c r="A17" s="1470" t="s">
        <v>476</v>
      </c>
      <c r="B17" s="1471"/>
      <c r="C17" s="283"/>
      <c r="D17" s="284">
        <f>+D14+D9</f>
        <v>0</v>
      </c>
      <c r="E17" s="285">
        <f t="shared" ref="E17:J17" si="2">+E14+E9</f>
        <v>0</v>
      </c>
      <c r="F17" s="286">
        <f t="shared" si="2"/>
        <v>0</v>
      </c>
      <c r="G17" s="286">
        <f t="shared" si="2"/>
        <v>0</v>
      </c>
      <c r="H17" s="286">
        <f t="shared" si="2"/>
        <v>0</v>
      </c>
      <c r="I17" s="287">
        <f t="shared" si="2"/>
        <v>0</v>
      </c>
      <c r="J17" s="284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1. számú tájékoztató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K36" sqref="K36"/>
    </sheetView>
  </sheetViews>
  <sheetFormatPr defaultColWidth="9.140625" defaultRowHeight="12.75" x14ac:dyDescent="0.2"/>
  <cols>
    <col min="1" max="1" width="31.42578125" style="202" customWidth="1"/>
    <col min="2" max="2" width="8.85546875" style="202" bestFit="1" customWidth="1"/>
    <col min="3" max="4" width="7.7109375" style="202" customWidth="1"/>
    <col min="5" max="5" width="8.140625" style="202" customWidth="1"/>
    <col min="6" max="6" width="7.5703125" style="202" customWidth="1"/>
    <col min="7" max="7" width="7.42578125" style="202" customWidth="1"/>
    <col min="8" max="8" width="7.5703125" style="202" customWidth="1"/>
    <col min="9" max="9" width="8.5703125" style="202" customWidth="1"/>
    <col min="10" max="10" width="8.140625" style="202" customWidth="1"/>
    <col min="11" max="11" width="10.42578125" style="202" customWidth="1"/>
    <col min="12" max="12" width="8.140625" style="202" customWidth="1"/>
    <col min="13" max="13" width="8.5703125" style="202" customWidth="1"/>
    <col min="14" max="14" width="9.140625" style="202" customWidth="1"/>
    <col min="15" max="15" width="10.85546875" style="201" customWidth="1"/>
    <col min="16" max="16384" width="9.140625" style="202"/>
  </cols>
  <sheetData>
    <row r="1" spans="1:16" ht="13.5" thickBot="1" x14ac:dyDescent="0.25">
      <c r="O1" s="203" t="s">
        <v>458</v>
      </c>
    </row>
    <row r="2" spans="1:16" s="201" customFormat="1" ht="25.5" x14ac:dyDescent="0.2">
      <c r="A2" s="204" t="s">
        <v>279</v>
      </c>
      <c r="B2" s="205" t="s">
        <v>459</v>
      </c>
      <c r="C2" s="204" t="s">
        <v>435</v>
      </c>
      <c r="D2" s="204" t="s">
        <v>436</v>
      </c>
      <c r="E2" s="204" t="s">
        <v>437</v>
      </c>
      <c r="F2" s="204" t="s">
        <v>438</v>
      </c>
      <c r="G2" s="204" t="s">
        <v>439</v>
      </c>
      <c r="H2" s="204" t="s">
        <v>440</v>
      </c>
      <c r="I2" s="204" t="s">
        <v>441</v>
      </c>
      <c r="J2" s="204" t="s">
        <v>460</v>
      </c>
      <c r="K2" s="204" t="s">
        <v>442</v>
      </c>
      <c r="L2" s="204" t="s">
        <v>443</v>
      </c>
      <c r="M2" s="204" t="s">
        <v>444</v>
      </c>
      <c r="N2" s="204" t="s">
        <v>445</v>
      </c>
      <c r="O2" s="206" t="s">
        <v>457</v>
      </c>
    </row>
    <row r="3" spans="1:16" s="207" customFormat="1" x14ac:dyDescent="0.25">
      <c r="A3" s="623" t="s">
        <v>681</v>
      </c>
      <c r="B3" s="623"/>
      <c r="C3" s="623"/>
      <c r="D3" s="623">
        <f t="shared" ref="D3:N3" si="0">+C40</f>
        <v>-22224.833333333314</v>
      </c>
      <c r="E3" s="623">
        <f t="shared" si="0"/>
        <v>27298.333333333372</v>
      </c>
      <c r="F3" s="623">
        <f t="shared" si="0"/>
        <v>25821.500000000058</v>
      </c>
      <c r="G3" s="623">
        <f t="shared" si="0"/>
        <v>-1565.3333333332557</v>
      </c>
      <c r="H3" s="623">
        <f t="shared" si="0"/>
        <v>-2042.1666666665697</v>
      </c>
      <c r="I3" s="623">
        <f t="shared" si="0"/>
        <v>-2518.9999999998836</v>
      </c>
      <c r="J3" s="623">
        <f t="shared" si="0"/>
        <v>41064.166666666802</v>
      </c>
      <c r="K3" s="623">
        <f t="shared" si="0"/>
        <v>17486.333333333489</v>
      </c>
      <c r="L3" s="623">
        <f t="shared" si="0"/>
        <v>-8596.4999999998254</v>
      </c>
      <c r="M3" s="623">
        <f t="shared" si="0"/>
        <v>-9064.3333333331393</v>
      </c>
      <c r="N3" s="623">
        <f t="shared" si="0"/>
        <v>-9532.1666666664532</v>
      </c>
      <c r="O3" s="209"/>
    </row>
    <row r="4" spans="1:16" s="210" customFormat="1" ht="15" customHeight="1" x14ac:dyDescent="0.25">
      <c r="A4" s="48" t="s">
        <v>328</v>
      </c>
      <c r="B4" s="64">
        <f>+'1.mell. Mérleg'!E5</f>
        <v>634535</v>
      </c>
      <c r="C4" s="208">
        <f>+$B$4/12</f>
        <v>52877.916666666664</v>
      </c>
      <c r="D4" s="208">
        <f t="shared" ref="D4:N4" si="1">+$B$4/12</f>
        <v>52877.916666666664</v>
      </c>
      <c r="E4" s="208">
        <f t="shared" si="1"/>
        <v>52877.916666666664</v>
      </c>
      <c r="F4" s="208">
        <f t="shared" si="1"/>
        <v>52877.916666666664</v>
      </c>
      <c r="G4" s="208">
        <f t="shared" si="1"/>
        <v>52877.916666666664</v>
      </c>
      <c r="H4" s="208">
        <f t="shared" si="1"/>
        <v>52877.916666666664</v>
      </c>
      <c r="I4" s="208">
        <f t="shared" si="1"/>
        <v>52877.916666666664</v>
      </c>
      <c r="J4" s="208">
        <f t="shared" si="1"/>
        <v>52877.916666666664</v>
      </c>
      <c r="K4" s="208">
        <f t="shared" si="1"/>
        <v>52877.916666666664</v>
      </c>
      <c r="L4" s="208">
        <f t="shared" si="1"/>
        <v>52877.916666666664</v>
      </c>
      <c r="M4" s="208">
        <f t="shared" si="1"/>
        <v>52877.916666666664</v>
      </c>
      <c r="N4" s="208">
        <f t="shared" si="1"/>
        <v>52877.916666666664</v>
      </c>
      <c r="O4" s="209">
        <f>SUM(C4:N4)</f>
        <v>634535</v>
      </c>
    </row>
    <row r="5" spans="1:16" s="210" customFormat="1" ht="25.5" x14ac:dyDescent="0.25">
      <c r="A5" s="48" t="s">
        <v>204</v>
      </c>
      <c r="B5" s="64">
        <f>+'1.mell. Mérleg'!E6</f>
        <v>46165</v>
      </c>
      <c r="C5" s="208">
        <f>+$B$5/12</f>
        <v>3847.0833333333335</v>
      </c>
      <c r="D5" s="208">
        <f t="shared" ref="D5:N5" si="2">+$B$5/12</f>
        <v>3847.0833333333335</v>
      </c>
      <c r="E5" s="208">
        <f t="shared" si="2"/>
        <v>3847.0833333333335</v>
      </c>
      <c r="F5" s="208">
        <f t="shared" si="2"/>
        <v>3847.0833333333335</v>
      </c>
      <c r="G5" s="208">
        <f t="shared" si="2"/>
        <v>3847.0833333333335</v>
      </c>
      <c r="H5" s="208">
        <f t="shared" si="2"/>
        <v>3847.0833333333335</v>
      </c>
      <c r="I5" s="208">
        <f t="shared" si="2"/>
        <v>3847.0833333333335</v>
      </c>
      <c r="J5" s="208">
        <f t="shared" si="2"/>
        <v>3847.0833333333335</v>
      </c>
      <c r="K5" s="208">
        <f t="shared" si="2"/>
        <v>3847.0833333333335</v>
      </c>
      <c r="L5" s="208">
        <f t="shared" si="2"/>
        <v>3847.0833333333335</v>
      </c>
      <c r="M5" s="208">
        <f t="shared" si="2"/>
        <v>3847.0833333333335</v>
      </c>
      <c r="N5" s="208">
        <f t="shared" si="2"/>
        <v>3847.0833333333335</v>
      </c>
      <c r="O5" s="209">
        <f>SUM(C5:N5)</f>
        <v>46165.000000000007</v>
      </c>
    </row>
    <row r="6" spans="1:16" s="213" customFormat="1" ht="25.5" x14ac:dyDescent="0.25">
      <c r="A6" s="924" t="s">
        <v>326</v>
      </c>
      <c r="B6" s="68">
        <f>+B4+B5</f>
        <v>680700</v>
      </c>
      <c r="C6" s="211">
        <f>SUM(C4:C5)</f>
        <v>56725</v>
      </c>
      <c r="D6" s="211">
        <f t="shared" ref="D6:O6" si="3">SUM(D4:D5)</f>
        <v>56725</v>
      </c>
      <c r="E6" s="211">
        <f t="shared" si="3"/>
        <v>56725</v>
      </c>
      <c r="F6" s="211">
        <f t="shared" si="3"/>
        <v>56725</v>
      </c>
      <c r="G6" s="211">
        <f t="shared" si="3"/>
        <v>56725</v>
      </c>
      <c r="H6" s="211">
        <f t="shared" si="3"/>
        <v>56725</v>
      </c>
      <c r="I6" s="211">
        <f t="shared" si="3"/>
        <v>56725</v>
      </c>
      <c r="J6" s="211">
        <f t="shared" si="3"/>
        <v>56725</v>
      </c>
      <c r="K6" s="211">
        <f t="shared" si="3"/>
        <v>56725</v>
      </c>
      <c r="L6" s="211">
        <f t="shared" si="3"/>
        <v>56725</v>
      </c>
      <c r="M6" s="211">
        <f t="shared" si="3"/>
        <v>56725</v>
      </c>
      <c r="N6" s="211">
        <f t="shared" si="3"/>
        <v>56725</v>
      </c>
      <c r="O6" s="212">
        <f t="shared" si="3"/>
        <v>680700</v>
      </c>
      <c r="P6" s="210"/>
    </row>
    <row r="7" spans="1:16" s="210" customFormat="1" x14ac:dyDescent="0.25">
      <c r="A7" s="48" t="s">
        <v>219</v>
      </c>
      <c r="B7" s="64">
        <f>+'1.mell. Mérleg'!E10</f>
        <v>227443</v>
      </c>
      <c r="C7" s="208">
        <f>+$B$7/12</f>
        <v>18953.583333333332</v>
      </c>
      <c r="D7" s="208">
        <f t="shared" ref="D7:N7" si="4">+$B$7/12</f>
        <v>18953.583333333332</v>
      </c>
      <c r="E7" s="208">
        <f t="shared" si="4"/>
        <v>18953.583333333332</v>
      </c>
      <c r="F7" s="208">
        <f t="shared" si="4"/>
        <v>18953.583333333332</v>
      </c>
      <c r="G7" s="208">
        <f t="shared" si="4"/>
        <v>18953.583333333332</v>
      </c>
      <c r="H7" s="208">
        <f t="shared" si="4"/>
        <v>18953.583333333332</v>
      </c>
      <c r="I7" s="208">
        <f t="shared" si="4"/>
        <v>18953.583333333332</v>
      </c>
      <c r="J7" s="208">
        <f t="shared" si="4"/>
        <v>18953.583333333332</v>
      </c>
      <c r="K7" s="208">
        <f t="shared" si="4"/>
        <v>18953.583333333332</v>
      </c>
      <c r="L7" s="208">
        <f t="shared" si="4"/>
        <v>18953.583333333332</v>
      </c>
      <c r="M7" s="208">
        <f t="shared" si="4"/>
        <v>18953.583333333332</v>
      </c>
      <c r="N7" s="208">
        <f t="shared" si="4"/>
        <v>18953.583333333332</v>
      </c>
      <c r="O7" s="209">
        <f t="shared" ref="O7:O12" si="5">SUM(C7:N7)</f>
        <v>227443.00000000003</v>
      </c>
    </row>
    <row r="8" spans="1:16" s="210" customFormat="1" x14ac:dyDescent="0.25">
      <c r="A8" s="48" t="s">
        <v>331</v>
      </c>
      <c r="B8" s="64">
        <f>+'1.mell. Mérleg'!E11</f>
        <v>96800</v>
      </c>
      <c r="C8" s="208">
        <f>+$B$8/12</f>
        <v>8066.666666666667</v>
      </c>
      <c r="D8" s="208">
        <f t="shared" ref="D8:N8" si="6">+$B$8/12</f>
        <v>8066.666666666667</v>
      </c>
      <c r="E8" s="208">
        <f t="shared" si="6"/>
        <v>8066.666666666667</v>
      </c>
      <c r="F8" s="208">
        <f t="shared" si="6"/>
        <v>8066.666666666667</v>
      </c>
      <c r="G8" s="208">
        <f t="shared" si="6"/>
        <v>8066.666666666667</v>
      </c>
      <c r="H8" s="208">
        <f t="shared" si="6"/>
        <v>8066.666666666667</v>
      </c>
      <c r="I8" s="208">
        <f t="shared" si="6"/>
        <v>8066.666666666667</v>
      </c>
      <c r="J8" s="208">
        <f t="shared" si="6"/>
        <v>8066.666666666667</v>
      </c>
      <c r="K8" s="208">
        <f t="shared" si="6"/>
        <v>8066.666666666667</v>
      </c>
      <c r="L8" s="208">
        <f t="shared" si="6"/>
        <v>8066.666666666667</v>
      </c>
      <c r="M8" s="208">
        <f t="shared" si="6"/>
        <v>8066.666666666667</v>
      </c>
      <c r="N8" s="208">
        <f t="shared" si="6"/>
        <v>8066.666666666667</v>
      </c>
      <c r="O8" s="209">
        <f t="shared" si="5"/>
        <v>96800.000000000015</v>
      </c>
    </row>
    <row r="9" spans="1:16" s="210" customFormat="1" x14ac:dyDescent="0.25">
      <c r="A9" s="48" t="s">
        <v>232</v>
      </c>
      <c r="B9" s="64">
        <f>+'1.mell. Mérleg'!E12</f>
        <v>33744</v>
      </c>
      <c r="C9" s="208">
        <f>+$B$9/12</f>
        <v>2812</v>
      </c>
      <c r="D9" s="208">
        <f t="shared" ref="D9:N9" si="7">+$B$9/12</f>
        <v>2812</v>
      </c>
      <c r="E9" s="208">
        <f t="shared" si="7"/>
        <v>2812</v>
      </c>
      <c r="F9" s="208">
        <f t="shared" si="7"/>
        <v>2812</v>
      </c>
      <c r="G9" s="208">
        <f t="shared" si="7"/>
        <v>2812</v>
      </c>
      <c r="H9" s="208">
        <f t="shared" si="7"/>
        <v>2812</v>
      </c>
      <c r="I9" s="208">
        <f t="shared" si="7"/>
        <v>2812</v>
      </c>
      <c r="J9" s="208">
        <f t="shared" si="7"/>
        <v>2812</v>
      </c>
      <c r="K9" s="208">
        <f t="shared" si="7"/>
        <v>2812</v>
      </c>
      <c r="L9" s="208">
        <f t="shared" si="7"/>
        <v>2812</v>
      </c>
      <c r="M9" s="208">
        <f t="shared" si="7"/>
        <v>2812</v>
      </c>
      <c r="N9" s="208">
        <f t="shared" si="7"/>
        <v>2812</v>
      </c>
      <c r="O9" s="209">
        <f t="shared" si="5"/>
        <v>33744</v>
      </c>
    </row>
    <row r="10" spans="1:16" s="213" customFormat="1" x14ac:dyDescent="0.25">
      <c r="A10" s="924" t="s">
        <v>332</v>
      </c>
      <c r="B10" s="68">
        <f>SUM(B7:B9)</f>
        <v>357987</v>
      </c>
      <c r="C10" s="211">
        <f>SUM(C7:C9)</f>
        <v>29832.25</v>
      </c>
      <c r="D10" s="211">
        <f t="shared" ref="D10:O10" si="8">SUM(D7:D9)</f>
        <v>29832.25</v>
      </c>
      <c r="E10" s="211">
        <f t="shared" si="8"/>
        <v>29832.25</v>
      </c>
      <c r="F10" s="211">
        <f t="shared" si="8"/>
        <v>29832.25</v>
      </c>
      <c r="G10" s="211">
        <f t="shared" si="8"/>
        <v>29832.25</v>
      </c>
      <c r="H10" s="211">
        <f t="shared" si="8"/>
        <v>29832.25</v>
      </c>
      <c r="I10" s="211">
        <f t="shared" si="8"/>
        <v>29832.25</v>
      </c>
      <c r="J10" s="211">
        <f t="shared" si="8"/>
        <v>29832.25</v>
      </c>
      <c r="K10" s="211">
        <f t="shared" si="8"/>
        <v>29832.25</v>
      </c>
      <c r="L10" s="211">
        <f t="shared" si="8"/>
        <v>29832.25</v>
      </c>
      <c r="M10" s="211">
        <f t="shared" si="8"/>
        <v>29832.25</v>
      </c>
      <c r="N10" s="211">
        <f t="shared" si="8"/>
        <v>29832.25</v>
      </c>
      <c r="O10" s="212">
        <f t="shared" si="8"/>
        <v>357987.00000000006</v>
      </c>
      <c r="P10" s="210"/>
    </row>
    <row r="11" spans="1:16" s="210" customFormat="1" x14ac:dyDescent="0.25">
      <c r="A11" s="48" t="s">
        <v>277</v>
      </c>
      <c r="B11" s="64">
        <f>+'1.mell. Mérleg'!E13</f>
        <v>92147</v>
      </c>
      <c r="C11" s="208">
        <f>+$B$11/12</f>
        <v>7678.916666666667</v>
      </c>
      <c r="D11" s="208">
        <f t="shared" ref="D11:N11" si="9">+$B$11/12</f>
        <v>7678.916666666667</v>
      </c>
      <c r="E11" s="208">
        <f t="shared" si="9"/>
        <v>7678.916666666667</v>
      </c>
      <c r="F11" s="208">
        <f t="shared" si="9"/>
        <v>7678.916666666667</v>
      </c>
      <c r="G11" s="208">
        <f t="shared" si="9"/>
        <v>7678.916666666667</v>
      </c>
      <c r="H11" s="208">
        <f t="shared" si="9"/>
        <v>7678.916666666667</v>
      </c>
      <c r="I11" s="208">
        <f t="shared" si="9"/>
        <v>7678.916666666667</v>
      </c>
      <c r="J11" s="208">
        <f t="shared" si="9"/>
        <v>7678.916666666667</v>
      </c>
      <c r="K11" s="208">
        <f t="shared" si="9"/>
        <v>7678.916666666667</v>
      </c>
      <c r="L11" s="208">
        <f t="shared" si="9"/>
        <v>7678.916666666667</v>
      </c>
      <c r="M11" s="208">
        <f t="shared" si="9"/>
        <v>7678.916666666667</v>
      </c>
      <c r="N11" s="208">
        <f t="shared" si="9"/>
        <v>7678.916666666667</v>
      </c>
      <c r="O11" s="209">
        <f t="shared" si="5"/>
        <v>92147.000000000015</v>
      </c>
    </row>
    <row r="12" spans="1:16" s="210" customFormat="1" x14ac:dyDescent="0.25">
      <c r="A12" s="48" t="s">
        <v>275</v>
      </c>
      <c r="B12" s="64">
        <f>+'1.mell. Mérleg'!E14</f>
        <v>18208</v>
      </c>
      <c r="C12" s="208">
        <f>+$B$12/12</f>
        <v>1517.3333333333333</v>
      </c>
      <c r="D12" s="208">
        <f t="shared" ref="D12:N12" si="10">+$B$12/12</f>
        <v>1517.3333333333333</v>
      </c>
      <c r="E12" s="208">
        <f t="shared" si="10"/>
        <v>1517.3333333333333</v>
      </c>
      <c r="F12" s="208">
        <f t="shared" si="10"/>
        <v>1517.3333333333333</v>
      </c>
      <c r="G12" s="208">
        <f t="shared" si="10"/>
        <v>1517.3333333333333</v>
      </c>
      <c r="H12" s="208">
        <f t="shared" si="10"/>
        <v>1517.3333333333333</v>
      </c>
      <c r="I12" s="208">
        <f t="shared" si="10"/>
        <v>1517.3333333333333</v>
      </c>
      <c r="J12" s="208">
        <f t="shared" si="10"/>
        <v>1517.3333333333333</v>
      </c>
      <c r="K12" s="208">
        <f t="shared" si="10"/>
        <v>1517.3333333333333</v>
      </c>
      <c r="L12" s="208">
        <f t="shared" si="10"/>
        <v>1517.3333333333333</v>
      </c>
      <c r="M12" s="208">
        <f t="shared" si="10"/>
        <v>1517.3333333333333</v>
      </c>
      <c r="N12" s="208">
        <f t="shared" si="10"/>
        <v>1517.3333333333333</v>
      </c>
      <c r="O12" s="209">
        <f t="shared" si="5"/>
        <v>18208</v>
      </c>
    </row>
    <row r="13" spans="1:16" s="213" customFormat="1" x14ac:dyDescent="0.25">
      <c r="A13" s="214" t="s">
        <v>391</v>
      </c>
      <c r="B13" s="215">
        <f>+B12+B11+B10+B6</f>
        <v>1149042</v>
      </c>
      <c r="C13" s="215">
        <f t="shared" ref="C13:O13" si="11">+C12+C11+C10+C6</f>
        <v>95753.5</v>
      </c>
      <c r="D13" s="215">
        <f t="shared" si="11"/>
        <v>95753.5</v>
      </c>
      <c r="E13" s="215">
        <f t="shared" si="11"/>
        <v>95753.5</v>
      </c>
      <c r="F13" s="215">
        <f t="shared" si="11"/>
        <v>95753.5</v>
      </c>
      <c r="G13" s="215">
        <f t="shared" si="11"/>
        <v>95753.5</v>
      </c>
      <c r="H13" s="215">
        <f t="shared" si="11"/>
        <v>95753.5</v>
      </c>
      <c r="I13" s="215">
        <f t="shared" si="11"/>
        <v>95753.5</v>
      </c>
      <c r="J13" s="215">
        <f t="shared" si="11"/>
        <v>95753.5</v>
      </c>
      <c r="K13" s="215">
        <f t="shared" si="11"/>
        <v>95753.5</v>
      </c>
      <c r="L13" s="215">
        <f t="shared" si="11"/>
        <v>95753.5</v>
      </c>
      <c r="M13" s="215">
        <f t="shared" si="11"/>
        <v>95753.5</v>
      </c>
      <c r="N13" s="215">
        <f t="shared" si="11"/>
        <v>95753.5</v>
      </c>
      <c r="O13" s="216">
        <f t="shared" si="11"/>
        <v>1149042</v>
      </c>
      <c r="P13" s="210"/>
    </row>
    <row r="14" spans="1:16" s="210" customFormat="1" ht="25.5" x14ac:dyDescent="0.25">
      <c r="A14" s="48" t="s">
        <v>327</v>
      </c>
      <c r="B14" s="64">
        <f>+'1.mell. Mérleg'!E16</f>
        <v>130953</v>
      </c>
      <c r="C14" s="208"/>
      <c r="D14" s="208">
        <v>50000</v>
      </c>
      <c r="E14" s="208"/>
      <c r="F14" s="208">
        <v>13793</v>
      </c>
      <c r="G14" s="208"/>
      <c r="H14" s="208"/>
      <c r="I14" s="208">
        <v>67160</v>
      </c>
      <c r="J14" s="208"/>
      <c r="K14" s="208"/>
      <c r="L14" s="208"/>
      <c r="M14" s="208"/>
      <c r="N14" s="208"/>
      <c r="O14" s="212">
        <f>SUM(C14:N14)</f>
        <v>130953</v>
      </c>
    </row>
    <row r="15" spans="1:16" s="210" customFormat="1" ht="14.1" customHeight="1" x14ac:dyDescent="0.25">
      <c r="A15" s="48" t="s">
        <v>276</v>
      </c>
      <c r="B15" s="64">
        <f>'1.mell. Mérleg'!E17</f>
        <v>10000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>
        <v>10000</v>
      </c>
      <c r="O15" s="212">
        <f>SUM(C15:N15)</f>
        <v>10000</v>
      </c>
    </row>
    <row r="16" spans="1:16" s="210" customFormat="1" ht="14.1" customHeight="1" x14ac:dyDescent="0.25">
      <c r="A16" s="48" t="s">
        <v>280</v>
      </c>
      <c r="B16" s="64">
        <f>+'1.mell. Mérleg'!E18</f>
        <v>0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12">
        <f>SUM(C16:N16)</f>
        <v>0</v>
      </c>
    </row>
    <row r="17" spans="1:16" s="210" customFormat="1" ht="14.1" customHeight="1" x14ac:dyDescent="0.25">
      <c r="A17" s="214" t="s">
        <v>276</v>
      </c>
      <c r="B17" s="215">
        <f>+B16+B15+B14</f>
        <v>140953</v>
      </c>
      <c r="C17" s="215">
        <f t="shared" ref="C17:O17" si="12">+C16+C15+C14</f>
        <v>0</v>
      </c>
      <c r="D17" s="215">
        <f t="shared" si="12"/>
        <v>50000</v>
      </c>
      <c r="E17" s="215">
        <f t="shared" si="12"/>
        <v>0</v>
      </c>
      <c r="F17" s="215">
        <f t="shared" si="12"/>
        <v>13793</v>
      </c>
      <c r="G17" s="215">
        <f t="shared" si="12"/>
        <v>0</v>
      </c>
      <c r="H17" s="215">
        <f t="shared" si="12"/>
        <v>0</v>
      </c>
      <c r="I17" s="215">
        <f t="shared" si="12"/>
        <v>67160</v>
      </c>
      <c r="J17" s="215">
        <f t="shared" si="12"/>
        <v>0</v>
      </c>
      <c r="K17" s="215">
        <f t="shared" si="12"/>
        <v>0</v>
      </c>
      <c r="L17" s="215">
        <f t="shared" si="12"/>
        <v>0</v>
      </c>
      <c r="M17" s="215">
        <f t="shared" si="12"/>
        <v>0</v>
      </c>
      <c r="N17" s="215">
        <f t="shared" si="12"/>
        <v>10000</v>
      </c>
      <c r="O17" s="216">
        <f t="shared" si="12"/>
        <v>140953</v>
      </c>
    </row>
    <row r="18" spans="1:16" s="210" customFormat="1" ht="26.25" customHeight="1" x14ac:dyDescent="0.25">
      <c r="A18" s="48" t="s">
        <v>680</v>
      </c>
      <c r="B18" s="64">
        <f>+'1.mell. Mérleg'!E21</f>
        <v>0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12">
        <f>SUM(C18:N18)</f>
        <v>0</v>
      </c>
    </row>
    <row r="19" spans="1:16" s="210" customFormat="1" ht="14.1" customHeight="1" x14ac:dyDescent="0.25">
      <c r="A19" s="48" t="s">
        <v>375</v>
      </c>
      <c r="B19" s="64">
        <f>+'1.mell. Mérleg'!E23</f>
        <v>207063</v>
      </c>
      <c r="C19" s="208">
        <f>+$B$19/12</f>
        <v>17255.25</v>
      </c>
      <c r="D19" s="208">
        <f t="shared" ref="D19:N19" si="13">+$B$19/12</f>
        <v>17255.25</v>
      </c>
      <c r="E19" s="208">
        <f t="shared" si="13"/>
        <v>17255.25</v>
      </c>
      <c r="F19" s="208">
        <f t="shared" si="13"/>
        <v>17255.25</v>
      </c>
      <c r="G19" s="208">
        <f t="shared" si="13"/>
        <v>17255.25</v>
      </c>
      <c r="H19" s="208">
        <f t="shared" si="13"/>
        <v>17255.25</v>
      </c>
      <c r="I19" s="208">
        <f t="shared" si="13"/>
        <v>17255.25</v>
      </c>
      <c r="J19" s="208">
        <f t="shared" si="13"/>
        <v>17255.25</v>
      </c>
      <c r="K19" s="208">
        <f t="shared" si="13"/>
        <v>17255.25</v>
      </c>
      <c r="L19" s="208">
        <f t="shared" si="13"/>
        <v>17255.25</v>
      </c>
      <c r="M19" s="208">
        <f t="shared" si="13"/>
        <v>17255.25</v>
      </c>
      <c r="N19" s="208">
        <f t="shared" si="13"/>
        <v>17255.25</v>
      </c>
      <c r="O19" s="212">
        <f>SUM(C19:N19)</f>
        <v>207063</v>
      </c>
    </row>
    <row r="20" spans="1:16" s="210" customFormat="1" ht="14.1" customHeight="1" x14ac:dyDescent="0.25">
      <c r="A20" s="48" t="s">
        <v>376</v>
      </c>
      <c r="B20" s="64">
        <f>+'1.mell. Mérleg'!E24</f>
        <v>564916</v>
      </c>
      <c r="C20" s="208">
        <f>+$B$20/12</f>
        <v>47076.333333333336</v>
      </c>
      <c r="D20" s="208">
        <f t="shared" ref="D20:N20" si="14">+$B$20/12</f>
        <v>47076.333333333336</v>
      </c>
      <c r="E20" s="208">
        <f t="shared" si="14"/>
        <v>47076.333333333336</v>
      </c>
      <c r="F20" s="208">
        <f t="shared" si="14"/>
        <v>47076.333333333336</v>
      </c>
      <c r="G20" s="208">
        <f t="shared" si="14"/>
        <v>47076.333333333336</v>
      </c>
      <c r="H20" s="208">
        <f t="shared" si="14"/>
        <v>47076.333333333336</v>
      </c>
      <c r="I20" s="208">
        <f t="shared" si="14"/>
        <v>47076.333333333336</v>
      </c>
      <c r="J20" s="208">
        <f t="shared" si="14"/>
        <v>47076.333333333336</v>
      </c>
      <c r="K20" s="208">
        <f t="shared" si="14"/>
        <v>47076.333333333336</v>
      </c>
      <c r="L20" s="208">
        <f t="shared" si="14"/>
        <v>47076.333333333336</v>
      </c>
      <c r="M20" s="208">
        <f t="shared" si="14"/>
        <v>47076.333333333336</v>
      </c>
      <c r="N20" s="208">
        <f t="shared" si="14"/>
        <v>47076.333333333336</v>
      </c>
      <c r="O20" s="212">
        <f>SUM(C20:N20)</f>
        <v>564915.99999999988</v>
      </c>
    </row>
    <row r="21" spans="1:16" s="213" customFormat="1" ht="14.1" customHeight="1" x14ac:dyDescent="0.25">
      <c r="A21" s="924"/>
      <c r="B21" s="68">
        <f>+B20+B19</f>
        <v>771979</v>
      </c>
      <c r="C21" s="68">
        <f t="shared" ref="C21:O21" si="15">+C20+C19</f>
        <v>64331.583333333336</v>
      </c>
      <c r="D21" s="68">
        <f t="shared" si="15"/>
        <v>64331.583333333336</v>
      </c>
      <c r="E21" s="68">
        <f t="shared" si="15"/>
        <v>64331.583333333336</v>
      </c>
      <c r="F21" s="68">
        <f t="shared" si="15"/>
        <v>64331.583333333336</v>
      </c>
      <c r="G21" s="68">
        <f t="shared" si="15"/>
        <v>64331.583333333336</v>
      </c>
      <c r="H21" s="68">
        <f t="shared" si="15"/>
        <v>64331.583333333336</v>
      </c>
      <c r="I21" s="68">
        <f t="shared" si="15"/>
        <v>64331.583333333336</v>
      </c>
      <c r="J21" s="68">
        <f t="shared" si="15"/>
        <v>64331.583333333336</v>
      </c>
      <c r="K21" s="68">
        <f t="shared" si="15"/>
        <v>64331.583333333336</v>
      </c>
      <c r="L21" s="68">
        <f t="shared" si="15"/>
        <v>64331.583333333336</v>
      </c>
      <c r="M21" s="68">
        <f t="shared" si="15"/>
        <v>64331.583333333336</v>
      </c>
      <c r="N21" s="68">
        <f t="shared" si="15"/>
        <v>64331.583333333336</v>
      </c>
      <c r="O21" s="217">
        <f t="shared" si="15"/>
        <v>771978.99999999988</v>
      </c>
      <c r="P21" s="210"/>
    </row>
    <row r="22" spans="1:16" s="210" customFormat="1" ht="14.1" customHeight="1" x14ac:dyDescent="0.25">
      <c r="A22" s="218" t="s">
        <v>283</v>
      </c>
      <c r="B22" s="215">
        <f>+B21+B18</f>
        <v>771979</v>
      </c>
      <c r="C22" s="215">
        <f t="shared" ref="C22:N22" si="16">+C21+C18</f>
        <v>64331.583333333336</v>
      </c>
      <c r="D22" s="215">
        <f t="shared" si="16"/>
        <v>64331.583333333336</v>
      </c>
      <c r="E22" s="215">
        <f t="shared" si="16"/>
        <v>64331.583333333336</v>
      </c>
      <c r="F22" s="215">
        <f t="shared" si="16"/>
        <v>64331.583333333336</v>
      </c>
      <c r="G22" s="215">
        <f t="shared" si="16"/>
        <v>64331.583333333336</v>
      </c>
      <c r="H22" s="215">
        <f t="shared" si="16"/>
        <v>64331.583333333336</v>
      </c>
      <c r="I22" s="215">
        <f t="shared" si="16"/>
        <v>64331.583333333336</v>
      </c>
      <c r="J22" s="215">
        <f t="shared" si="16"/>
        <v>64331.583333333336</v>
      </c>
      <c r="K22" s="215">
        <f t="shared" si="16"/>
        <v>64331.583333333336</v>
      </c>
      <c r="L22" s="215">
        <f t="shared" si="16"/>
        <v>64331.583333333336</v>
      </c>
      <c r="M22" s="215">
        <f t="shared" si="16"/>
        <v>64331.583333333336</v>
      </c>
      <c r="N22" s="215">
        <f t="shared" si="16"/>
        <v>64331.583333333336</v>
      </c>
      <c r="O22" s="215">
        <f>+O21+O18</f>
        <v>771978.99999999988</v>
      </c>
    </row>
    <row r="23" spans="1:16" s="207" customFormat="1" ht="15.95" customHeight="1" thickBot="1" x14ac:dyDescent="0.3">
      <c r="A23" s="219" t="s">
        <v>378</v>
      </c>
      <c r="B23" s="220">
        <f>+B22+B17+B13</f>
        <v>2061974</v>
      </c>
      <c r="C23" s="220">
        <f t="shared" ref="C23:N23" si="17">+C22+C17+C13</f>
        <v>160085.08333333334</v>
      </c>
      <c r="D23" s="220">
        <f t="shared" si="17"/>
        <v>210085.08333333334</v>
      </c>
      <c r="E23" s="220">
        <f t="shared" si="17"/>
        <v>160085.08333333334</v>
      </c>
      <c r="F23" s="220">
        <f t="shared" si="17"/>
        <v>173878.08333333334</v>
      </c>
      <c r="G23" s="220">
        <f t="shared" si="17"/>
        <v>160085.08333333334</v>
      </c>
      <c r="H23" s="220">
        <f t="shared" si="17"/>
        <v>160085.08333333334</v>
      </c>
      <c r="I23" s="220">
        <f t="shared" si="17"/>
        <v>227245.08333333334</v>
      </c>
      <c r="J23" s="220">
        <f t="shared" si="17"/>
        <v>160085.08333333334</v>
      </c>
      <c r="K23" s="220">
        <f t="shared" si="17"/>
        <v>160085.08333333334</v>
      </c>
      <c r="L23" s="220">
        <f t="shared" si="17"/>
        <v>160085.08333333334</v>
      </c>
      <c r="M23" s="220">
        <f t="shared" si="17"/>
        <v>160085.08333333334</v>
      </c>
      <c r="N23" s="220">
        <f t="shared" si="17"/>
        <v>170085.08333333334</v>
      </c>
      <c r="O23" s="221">
        <f>+O22+O17+O13</f>
        <v>2061974</v>
      </c>
      <c r="P23" s="210"/>
    </row>
    <row r="24" spans="1:16" s="207" customFormat="1" ht="15" customHeight="1" thickBot="1" x14ac:dyDescent="0.3">
      <c r="A24" s="1476"/>
      <c r="B24" s="1476"/>
      <c r="C24" s="1476"/>
      <c r="D24" s="1476"/>
      <c r="E24" s="1476"/>
      <c r="F24" s="1476"/>
      <c r="G24" s="1476"/>
      <c r="H24" s="1476"/>
      <c r="I24" s="1476"/>
      <c r="J24" s="1476"/>
      <c r="K24" s="1476"/>
      <c r="L24" s="1476"/>
      <c r="M24" s="1476"/>
      <c r="N24" s="1476"/>
      <c r="O24" s="1476"/>
      <c r="P24" s="210"/>
    </row>
    <row r="25" spans="1:16" s="201" customFormat="1" ht="26.1" customHeight="1" x14ac:dyDescent="0.2">
      <c r="A25" s="204" t="s">
        <v>279</v>
      </c>
      <c r="B25" s="205" t="s">
        <v>459</v>
      </c>
      <c r="C25" s="204" t="s">
        <v>435</v>
      </c>
      <c r="D25" s="204" t="s">
        <v>436</v>
      </c>
      <c r="E25" s="204" t="s">
        <v>437</v>
      </c>
      <c r="F25" s="204" t="s">
        <v>438</v>
      </c>
      <c r="G25" s="204" t="s">
        <v>439</v>
      </c>
      <c r="H25" s="204" t="s">
        <v>440</v>
      </c>
      <c r="I25" s="204" t="s">
        <v>441</v>
      </c>
      <c r="J25" s="204" t="s">
        <v>460</v>
      </c>
      <c r="K25" s="204" t="s">
        <v>442</v>
      </c>
      <c r="L25" s="204" t="s">
        <v>443</v>
      </c>
      <c r="M25" s="204" t="s">
        <v>444</v>
      </c>
      <c r="N25" s="204" t="s">
        <v>445</v>
      </c>
      <c r="O25" s="206" t="s">
        <v>457</v>
      </c>
      <c r="P25" s="210"/>
    </row>
    <row r="26" spans="1:16" s="210" customFormat="1" ht="14.1" customHeight="1" x14ac:dyDescent="0.2">
      <c r="A26" s="103" t="s">
        <v>172</v>
      </c>
      <c r="B26" s="122">
        <f>+'1.mell. Mérleg'!E31</f>
        <v>385413</v>
      </c>
      <c r="C26" s="208">
        <f>+$B$26/12</f>
        <v>32117.75</v>
      </c>
      <c r="D26" s="208">
        <f t="shared" ref="D26:N26" si="18">+$B$26/12</f>
        <v>32117.75</v>
      </c>
      <c r="E26" s="208">
        <f t="shared" si="18"/>
        <v>32117.75</v>
      </c>
      <c r="F26" s="208">
        <f t="shared" si="18"/>
        <v>32117.75</v>
      </c>
      <c r="G26" s="208">
        <f t="shared" si="18"/>
        <v>32117.75</v>
      </c>
      <c r="H26" s="208">
        <f t="shared" si="18"/>
        <v>32117.75</v>
      </c>
      <c r="I26" s="208">
        <f t="shared" si="18"/>
        <v>32117.75</v>
      </c>
      <c r="J26" s="208">
        <f t="shared" si="18"/>
        <v>32117.75</v>
      </c>
      <c r="K26" s="208">
        <f t="shared" si="18"/>
        <v>32117.75</v>
      </c>
      <c r="L26" s="208">
        <f t="shared" si="18"/>
        <v>32117.75</v>
      </c>
      <c r="M26" s="208">
        <f t="shared" si="18"/>
        <v>32117.75</v>
      </c>
      <c r="N26" s="208">
        <f t="shared" si="18"/>
        <v>32117.75</v>
      </c>
      <c r="O26" s="209">
        <f t="shared" ref="O26:O31" si="19">SUM(C26:N26)</f>
        <v>385413</v>
      </c>
    </row>
    <row r="27" spans="1:16" s="210" customFormat="1" ht="22.5" customHeight="1" x14ac:dyDescent="0.2">
      <c r="A27" s="103" t="s">
        <v>171</v>
      </c>
      <c r="B27" s="122">
        <f>+'1.mell. Mérleg'!E32</f>
        <v>65601</v>
      </c>
      <c r="C27" s="208">
        <f>+$B$27/12</f>
        <v>5466.75</v>
      </c>
      <c r="D27" s="208">
        <f t="shared" ref="D27:N27" si="20">+$B$27/12</f>
        <v>5466.75</v>
      </c>
      <c r="E27" s="208">
        <f t="shared" si="20"/>
        <v>5466.75</v>
      </c>
      <c r="F27" s="208">
        <f t="shared" si="20"/>
        <v>5466.75</v>
      </c>
      <c r="G27" s="208">
        <f t="shared" si="20"/>
        <v>5466.75</v>
      </c>
      <c r="H27" s="208">
        <f t="shared" si="20"/>
        <v>5466.75</v>
      </c>
      <c r="I27" s="208">
        <f t="shared" si="20"/>
        <v>5466.75</v>
      </c>
      <c r="J27" s="208">
        <f t="shared" si="20"/>
        <v>5466.75</v>
      </c>
      <c r="K27" s="208">
        <f t="shared" si="20"/>
        <v>5466.75</v>
      </c>
      <c r="L27" s="208">
        <f t="shared" si="20"/>
        <v>5466.75</v>
      </c>
      <c r="M27" s="208">
        <f t="shared" si="20"/>
        <v>5466.75</v>
      </c>
      <c r="N27" s="208">
        <f t="shared" si="20"/>
        <v>5466.75</v>
      </c>
      <c r="O27" s="209">
        <f t="shared" si="19"/>
        <v>65601</v>
      </c>
    </row>
    <row r="28" spans="1:16" s="210" customFormat="1" ht="14.1" customHeight="1" x14ac:dyDescent="0.2">
      <c r="A28" s="103" t="s">
        <v>151</v>
      </c>
      <c r="B28" s="122">
        <f>+'1.mell. Mérleg'!E33</f>
        <v>400535</v>
      </c>
      <c r="C28" s="208">
        <f>+$B$28/12</f>
        <v>33377.916666666664</v>
      </c>
      <c r="D28" s="208">
        <f t="shared" ref="D28:N28" si="21">+$B$28/12</f>
        <v>33377.916666666664</v>
      </c>
      <c r="E28" s="208">
        <f t="shared" si="21"/>
        <v>33377.916666666664</v>
      </c>
      <c r="F28" s="208">
        <f t="shared" si="21"/>
        <v>33377.916666666664</v>
      </c>
      <c r="G28" s="208">
        <f t="shared" si="21"/>
        <v>33377.916666666664</v>
      </c>
      <c r="H28" s="208">
        <f t="shared" si="21"/>
        <v>33377.916666666664</v>
      </c>
      <c r="I28" s="208">
        <f t="shared" si="21"/>
        <v>33377.916666666664</v>
      </c>
      <c r="J28" s="208">
        <f t="shared" si="21"/>
        <v>33377.916666666664</v>
      </c>
      <c r="K28" s="208">
        <f t="shared" si="21"/>
        <v>33377.916666666664</v>
      </c>
      <c r="L28" s="208">
        <f t="shared" si="21"/>
        <v>33377.916666666664</v>
      </c>
      <c r="M28" s="208">
        <f t="shared" si="21"/>
        <v>33377.916666666664</v>
      </c>
      <c r="N28" s="208">
        <f t="shared" si="21"/>
        <v>33377.916666666664</v>
      </c>
      <c r="O28" s="209">
        <f t="shared" si="19"/>
        <v>400535.00000000006</v>
      </c>
    </row>
    <row r="29" spans="1:16" s="210" customFormat="1" ht="14.1" customHeight="1" x14ac:dyDescent="0.2">
      <c r="A29" s="104" t="s">
        <v>150</v>
      </c>
      <c r="B29" s="122">
        <f>+'1.mell. Mérleg'!E34</f>
        <v>5883</v>
      </c>
      <c r="C29" s="208">
        <f>+$B$29/12</f>
        <v>490.25</v>
      </c>
      <c r="D29" s="208">
        <f t="shared" ref="D29:N29" si="22">+$B$29/12</f>
        <v>490.25</v>
      </c>
      <c r="E29" s="208">
        <f t="shared" si="22"/>
        <v>490.25</v>
      </c>
      <c r="F29" s="208">
        <f t="shared" si="22"/>
        <v>490.25</v>
      </c>
      <c r="G29" s="208">
        <f t="shared" si="22"/>
        <v>490.25</v>
      </c>
      <c r="H29" s="208">
        <f t="shared" si="22"/>
        <v>490.25</v>
      </c>
      <c r="I29" s="208">
        <f t="shared" si="22"/>
        <v>490.25</v>
      </c>
      <c r="J29" s="208">
        <f t="shared" si="22"/>
        <v>490.25</v>
      </c>
      <c r="K29" s="208">
        <f t="shared" si="22"/>
        <v>490.25</v>
      </c>
      <c r="L29" s="208">
        <f t="shared" si="22"/>
        <v>490.25</v>
      </c>
      <c r="M29" s="208">
        <f t="shared" si="22"/>
        <v>490.25</v>
      </c>
      <c r="N29" s="208">
        <f t="shared" si="22"/>
        <v>490.25</v>
      </c>
      <c r="O29" s="209">
        <f t="shared" si="19"/>
        <v>5883</v>
      </c>
    </row>
    <row r="30" spans="1:16" s="210" customFormat="1" ht="14.1" customHeight="1" x14ac:dyDescent="0.2">
      <c r="A30" s="103" t="s">
        <v>163</v>
      </c>
      <c r="B30" s="122">
        <f>+'1.mell. Mérleg'!E35</f>
        <v>381355</v>
      </c>
      <c r="C30" s="208">
        <f>+$B$30/12</f>
        <v>31779.583333333332</v>
      </c>
      <c r="D30" s="208">
        <f t="shared" ref="D30:N30" si="23">+$B$30/12</f>
        <v>31779.583333333332</v>
      </c>
      <c r="E30" s="208">
        <f t="shared" si="23"/>
        <v>31779.583333333332</v>
      </c>
      <c r="F30" s="208">
        <f t="shared" si="23"/>
        <v>31779.583333333332</v>
      </c>
      <c r="G30" s="208">
        <f t="shared" si="23"/>
        <v>31779.583333333332</v>
      </c>
      <c r="H30" s="208">
        <f t="shared" si="23"/>
        <v>31779.583333333332</v>
      </c>
      <c r="I30" s="208">
        <f t="shared" si="23"/>
        <v>31779.583333333332</v>
      </c>
      <c r="J30" s="208">
        <f t="shared" si="23"/>
        <v>31779.583333333332</v>
      </c>
      <c r="K30" s="208">
        <f t="shared" si="23"/>
        <v>31779.583333333332</v>
      </c>
      <c r="L30" s="208">
        <f t="shared" si="23"/>
        <v>31779.583333333332</v>
      </c>
      <c r="M30" s="208">
        <f t="shared" si="23"/>
        <v>31779.583333333332</v>
      </c>
      <c r="N30" s="208">
        <f t="shared" si="23"/>
        <v>31779.583333333332</v>
      </c>
      <c r="O30" s="209">
        <f t="shared" si="19"/>
        <v>381354.99999999994</v>
      </c>
    </row>
    <row r="31" spans="1:16" s="210" customFormat="1" ht="14.1" customHeight="1" x14ac:dyDescent="0.2">
      <c r="A31" s="103" t="s">
        <v>413</v>
      </c>
      <c r="B31" s="122">
        <f>+'1.mell. Mérleg'!E36</f>
        <v>249332</v>
      </c>
      <c r="C31" s="208">
        <f>+$B$31/12</f>
        <v>20777.666666666668</v>
      </c>
      <c r="D31" s="208">
        <f t="shared" ref="D31:N31" si="24">+$B$31/12</f>
        <v>20777.666666666668</v>
      </c>
      <c r="E31" s="208">
        <f t="shared" si="24"/>
        <v>20777.666666666668</v>
      </c>
      <c r="F31" s="208">
        <f t="shared" si="24"/>
        <v>20777.666666666668</v>
      </c>
      <c r="G31" s="208">
        <f t="shared" si="24"/>
        <v>20777.666666666668</v>
      </c>
      <c r="H31" s="208">
        <f t="shared" si="24"/>
        <v>20777.666666666668</v>
      </c>
      <c r="I31" s="208">
        <f t="shared" si="24"/>
        <v>20777.666666666668</v>
      </c>
      <c r="J31" s="208">
        <f t="shared" si="24"/>
        <v>20777.666666666668</v>
      </c>
      <c r="K31" s="208">
        <f t="shared" si="24"/>
        <v>20777.666666666668</v>
      </c>
      <c r="L31" s="208">
        <f t="shared" si="24"/>
        <v>20777.666666666668</v>
      </c>
      <c r="M31" s="208">
        <f t="shared" si="24"/>
        <v>20777.666666666668</v>
      </c>
      <c r="N31" s="208">
        <f t="shared" si="24"/>
        <v>20777.666666666668</v>
      </c>
      <c r="O31" s="209">
        <f t="shared" si="19"/>
        <v>249331.99999999997</v>
      </c>
    </row>
    <row r="32" spans="1:16" s="210" customFormat="1" ht="14.1" customHeight="1" x14ac:dyDescent="0.25">
      <c r="A32" s="214" t="s">
        <v>403</v>
      </c>
      <c r="B32" s="222">
        <f>SUM(B26:B31)</f>
        <v>1488119</v>
      </c>
      <c r="C32" s="222">
        <f t="shared" ref="C32:O32" si="25">SUM(C26:C31)</f>
        <v>124009.91666666666</v>
      </c>
      <c r="D32" s="222">
        <f t="shared" si="25"/>
        <v>124009.91666666666</v>
      </c>
      <c r="E32" s="222">
        <f t="shared" si="25"/>
        <v>124009.91666666666</v>
      </c>
      <c r="F32" s="222">
        <f t="shared" si="25"/>
        <v>124009.91666666666</v>
      </c>
      <c r="G32" s="222">
        <f t="shared" si="25"/>
        <v>124009.91666666666</v>
      </c>
      <c r="H32" s="222">
        <f t="shared" si="25"/>
        <v>124009.91666666666</v>
      </c>
      <c r="I32" s="222">
        <f t="shared" si="25"/>
        <v>124009.91666666666</v>
      </c>
      <c r="J32" s="222">
        <f t="shared" si="25"/>
        <v>124009.91666666666</v>
      </c>
      <c r="K32" s="222">
        <f t="shared" si="25"/>
        <v>124009.91666666666</v>
      </c>
      <c r="L32" s="222">
        <f t="shared" si="25"/>
        <v>124009.91666666666</v>
      </c>
      <c r="M32" s="222">
        <f t="shared" si="25"/>
        <v>124009.91666666666</v>
      </c>
      <c r="N32" s="222">
        <f t="shared" si="25"/>
        <v>124009.91666666666</v>
      </c>
      <c r="O32" s="223">
        <f t="shared" si="25"/>
        <v>1488119</v>
      </c>
    </row>
    <row r="33" spans="1:16" s="210" customFormat="1" ht="14.1" customHeight="1" x14ac:dyDescent="0.2">
      <c r="A33" s="103" t="s">
        <v>161</v>
      </c>
      <c r="B33" s="122">
        <f>+'1.mell. Mérleg'!E38</f>
        <v>507819</v>
      </c>
      <c r="C33" s="208">
        <f>31364+5191</f>
        <v>36555</v>
      </c>
      <c r="D33" s="208">
        <f t="shared" ref="D33:H33" si="26">31361+5191</f>
        <v>36552</v>
      </c>
      <c r="E33" s="208">
        <f t="shared" si="26"/>
        <v>36552</v>
      </c>
      <c r="F33" s="208">
        <f>31361+5191-70</f>
        <v>36482</v>
      </c>
      <c r="G33" s="208">
        <f t="shared" si="26"/>
        <v>36552</v>
      </c>
      <c r="H33" s="208">
        <f t="shared" si="26"/>
        <v>36552</v>
      </c>
      <c r="I33" s="208">
        <f>31361+5191+23100</f>
        <v>59652</v>
      </c>
      <c r="J33" s="208">
        <f>31361+5192+23100</f>
        <v>59653</v>
      </c>
      <c r="K33" s="208">
        <f>31361+5181+23098</f>
        <v>59640</v>
      </c>
      <c r="L33" s="208">
        <f>31361+5182</f>
        <v>36543</v>
      </c>
      <c r="M33" s="208">
        <f>31361+5182</f>
        <v>36543</v>
      </c>
      <c r="N33" s="208">
        <f>31361+5182</f>
        <v>36543</v>
      </c>
      <c r="O33" s="209">
        <f>SUM(C33:N33)</f>
        <v>507819</v>
      </c>
    </row>
    <row r="34" spans="1:16" s="210" customFormat="1" ht="14.1" customHeight="1" x14ac:dyDescent="0.2">
      <c r="A34" s="103" t="s">
        <v>160</v>
      </c>
      <c r="B34" s="122">
        <f>+'1.mell. Mérleg'!E39</f>
        <v>31037</v>
      </c>
      <c r="C34" s="208"/>
      <c r="D34" s="208"/>
      <c r="E34" s="208"/>
      <c r="F34" s="208">
        <v>31037</v>
      </c>
      <c r="G34" s="208"/>
      <c r="H34" s="208"/>
      <c r="I34" s="208"/>
      <c r="J34" s="208"/>
      <c r="K34" s="208"/>
      <c r="L34" s="208"/>
      <c r="M34" s="208"/>
      <c r="N34" s="208"/>
      <c r="O34" s="209">
        <f>SUM(C34:N34)</f>
        <v>31037</v>
      </c>
    </row>
    <row r="35" spans="1:16" s="210" customFormat="1" ht="14.1" customHeight="1" x14ac:dyDescent="0.2">
      <c r="A35" s="103" t="s">
        <v>158</v>
      </c>
      <c r="B35" s="122">
        <f>+'1.mell. Mérleg'!E40</f>
        <v>13254</v>
      </c>
      <c r="C35" s="208"/>
      <c r="D35" s="208"/>
      <c r="E35" s="208">
        <v>1000</v>
      </c>
      <c r="F35" s="208">
        <v>9736</v>
      </c>
      <c r="G35" s="208"/>
      <c r="H35" s="208"/>
      <c r="I35" s="208"/>
      <c r="J35" s="208"/>
      <c r="K35" s="208">
        <v>2518</v>
      </c>
      <c r="L35" s="208"/>
      <c r="M35" s="208"/>
      <c r="N35" s="208"/>
      <c r="O35" s="209">
        <f>SUM(C35:N35)</f>
        <v>13254</v>
      </c>
    </row>
    <row r="36" spans="1:16" s="210" customFormat="1" ht="14.1" customHeight="1" x14ac:dyDescent="0.2">
      <c r="A36" s="214" t="s">
        <v>405</v>
      </c>
      <c r="B36" s="224">
        <f>SUM(B33:B35)</f>
        <v>552110</v>
      </c>
      <c r="C36" s="224">
        <f t="shared" ref="C36:O36" si="27">SUM(C33:C35)</f>
        <v>36555</v>
      </c>
      <c r="D36" s="224">
        <f t="shared" si="27"/>
        <v>36552</v>
      </c>
      <c r="E36" s="224">
        <f t="shared" si="27"/>
        <v>37552</v>
      </c>
      <c r="F36" s="224">
        <f t="shared" si="27"/>
        <v>77255</v>
      </c>
      <c r="G36" s="224">
        <f t="shared" si="27"/>
        <v>36552</v>
      </c>
      <c r="H36" s="224">
        <f t="shared" si="27"/>
        <v>36552</v>
      </c>
      <c r="I36" s="224">
        <f t="shared" si="27"/>
        <v>59652</v>
      </c>
      <c r="J36" s="224">
        <f t="shared" si="27"/>
        <v>59653</v>
      </c>
      <c r="K36" s="224">
        <f t="shared" si="27"/>
        <v>62158</v>
      </c>
      <c r="L36" s="224">
        <f t="shared" si="27"/>
        <v>36543</v>
      </c>
      <c r="M36" s="224">
        <f t="shared" si="27"/>
        <v>36543</v>
      </c>
      <c r="N36" s="224">
        <f t="shared" si="27"/>
        <v>36543</v>
      </c>
      <c r="O36" s="225">
        <f t="shared" si="27"/>
        <v>552110</v>
      </c>
    </row>
    <row r="37" spans="1:16" s="210" customFormat="1" ht="14.1" customHeight="1" x14ac:dyDescent="0.2">
      <c r="A37" s="226" t="s">
        <v>274</v>
      </c>
      <c r="B37" s="224">
        <f>+'1.mell. Mérleg'!E42</f>
        <v>21745</v>
      </c>
      <c r="C37" s="227">
        <v>21745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8">
        <f>SUM(C37:N37)</f>
        <v>21745</v>
      </c>
    </row>
    <row r="38" spans="1:16" s="207" customFormat="1" ht="15.95" customHeight="1" thickBot="1" x14ac:dyDescent="0.3">
      <c r="A38" s="220" t="s">
        <v>402</v>
      </c>
      <c r="B38" s="220">
        <f>+B37+B36+B32</f>
        <v>2061974</v>
      </c>
      <c r="C38" s="220">
        <f>+C37+C36+C32</f>
        <v>182309.91666666666</v>
      </c>
      <c r="D38" s="220">
        <f t="shared" ref="D38:O38" si="28">+D37+D36+D32</f>
        <v>160561.91666666666</v>
      </c>
      <c r="E38" s="220">
        <f t="shared" si="28"/>
        <v>161561.91666666666</v>
      </c>
      <c r="F38" s="220">
        <f t="shared" si="28"/>
        <v>201264.91666666666</v>
      </c>
      <c r="G38" s="220">
        <f t="shared" si="28"/>
        <v>160561.91666666666</v>
      </c>
      <c r="H38" s="220">
        <f t="shared" si="28"/>
        <v>160561.91666666666</v>
      </c>
      <c r="I38" s="220">
        <f t="shared" si="28"/>
        <v>183661.91666666666</v>
      </c>
      <c r="J38" s="220">
        <f t="shared" si="28"/>
        <v>183662.91666666666</v>
      </c>
      <c r="K38" s="220">
        <f t="shared" si="28"/>
        <v>186167.91666666666</v>
      </c>
      <c r="L38" s="220">
        <f t="shared" si="28"/>
        <v>160552.91666666666</v>
      </c>
      <c r="M38" s="220">
        <f t="shared" si="28"/>
        <v>160552.91666666666</v>
      </c>
      <c r="N38" s="220">
        <f t="shared" si="28"/>
        <v>160552.91666666666</v>
      </c>
      <c r="O38" s="221">
        <f t="shared" si="28"/>
        <v>2061974</v>
      </c>
      <c r="P38" s="210"/>
    </row>
    <row r="39" spans="1:16" s="230" customFormat="1" ht="15.95" customHeight="1" thickBot="1" x14ac:dyDescent="0.3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10"/>
    </row>
    <row r="40" spans="1:16" ht="13.5" thickBot="1" x14ac:dyDescent="0.25">
      <c r="A40" s="231" t="s">
        <v>461</v>
      </c>
      <c r="B40" s="232">
        <f>+B23-B38</f>
        <v>0</v>
      </c>
      <c r="C40" s="232">
        <f t="shared" ref="C40" si="29">+C23-C38</f>
        <v>-22224.833333333314</v>
      </c>
      <c r="D40" s="232">
        <f>+D3+D23-D38</f>
        <v>27298.333333333372</v>
      </c>
      <c r="E40" s="232">
        <f t="shared" ref="E40:O40" si="30">+E3+E23-E38</f>
        <v>25821.500000000058</v>
      </c>
      <c r="F40" s="232">
        <f t="shared" si="30"/>
        <v>-1565.3333333332557</v>
      </c>
      <c r="G40" s="232">
        <f t="shared" si="30"/>
        <v>-2042.1666666665697</v>
      </c>
      <c r="H40" s="232">
        <f t="shared" si="30"/>
        <v>-2518.9999999998836</v>
      </c>
      <c r="I40" s="232">
        <f t="shared" si="30"/>
        <v>41064.166666666802</v>
      </c>
      <c r="J40" s="232">
        <f t="shared" si="30"/>
        <v>17486.333333333489</v>
      </c>
      <c r="K40" s="232">
        <f t="shared" si="30"/>
        <v>-8596.4999999998254</v>
      </c>
      <c r="L40" s="232">
        <f t="shared" si="30"/>
        <v>-9064.3333333331393</v>
      </c>
      <c r="M40" s="232">
        <f t="shared" si="30"/>
        <v>-9532.1666666664532</v>
      </c>
      <c r="N40" s="232">
        <f t="shared" si="30"/>
        <v>2.3283064365386963E-10</v>
      </c>
      <c r="O40" s="232">
        <f t="shared" si="30"/>
        <v>0</v>
      </c>
      <c r="P40" s="210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és likviditási ütemterv 2021. évre 
&amp;"Times New Roman,Normál"(tervezett adatok alapján)  &amp;"Times New Roman,Félkövér"             &amp;R&amp;"Times New Roman,Félkövér"&amp;10 &amp;K0000002. számú tájékoztató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zoomScaleNormal="100" workbookViewId="0">
      <selection activeCell="W12" sqref="W12"/>
    </sheetView>
  </sheetViews>
  <sheetFormatPr defaultColWidth="9.140625" defaultRowHeight="12.75" x14ac:dyDescent="0.2"/>
  <cols>
    <col min="1" max="1" width="5.7109375" style="644" customWidth="1"/>
    <col min="2" max="2" width="21" style="644" customWidth="1"/>
    <col min="3" max="3" width="7.42578125" style="644" customWidth="1"/>
    <col min="4" max="4" width="7.5703125" style="644" customWidth="1"/>
    <col min="5" max="5" width="7.28515625" style="644" customWidth="1"/>
    <col min="6" max="6" width="7.42578125" style="644" customWidth="1"/>
    <col min="7" max="7" width="6.7109375" style="644" customWidth="1"/>
    <col min="8" max="8" width="7.85546875" style="644" customWidth="1"/>
    <col min="9" max="9" width="7.5703125" style="644" bestFit="1" customWidth="1"/>
    <col min="10" max="10" width="8.7109375" style="644" customWidth="1"/>
    <col min="11" max="11" width="8" style="644" customWidth="1"/>
    <col min="12" max="12" width="8.85546875" style="644" customWidth="1"/>
    <col min="13" max="13" width="8.140625" style="644" customWidth="1"/>
    <col min="14" max="14" width="8.5703125" style="644" customWidth="1"/>
    <col min="15" max="15" width="7.85546875" style="644" customWidth="1"/>
    <col min="16" max="19" width="8.140625" style="644" customWidth="1"/>
    <col min="20" max="20" width="10" style="644" customWidth="1"/>
    <col min="21" max="21" width="8.140625" style="644" customWidth="1"/>
    <col min="22" max="22" width="8.85546875" style="644" customWidth="1"/>
    <col min="23" max="23" width="9" style="644" customWidth="1"/>
    <col min="24" max="24" width="9.42578125" style="644" customWidth="1"/>
    <col min="25" max="26" width="7.140625" style="644" customWidth="1"/>
    <col min="27" max="28" width="8.140625" style="644" customWidth="1"/>
    <col min="29" max="29" width="7.28515625" style="644" customWidth="1"/>
    <col min="30" max="30" width="7.85546875" style="644" customWidth="1"/>
    <col min="31" max="31" width="9.140625" style="644" customWidth="1"/>
    <col min="32" max="32" width="8.5703125" style="644" customWidth="1"/>
    <col min="33" max="33" width="7.7109375" style="644" customWidth="1"/>
    <col min="34" max="34" width="7.5703125" style="644" customWidth="1"/>
    <col min="35" max="35" width="8.7109375" style="644" customWidth="1"/>
    <col min="36" max="36" width="9.28515625" style="644" customWidth="1"/>
    <col min="37" max="16384" width="9.140625" style="644"/>
  </cols>
  <sheetData>
    <row r="1" spans="1:41" ht="13.5" thickBot="1" x14ac:dyDescent="0.25">
      <c r="AH1" s="1477" t="s">
        <v>383</v>
      </c>
      <c r="AI1" s="1477"/>
      <c r="AJ1" s="1477"/>
    </row>
    <row r="2" spans="1:41" ht="31.5" customHeight="1" x14ac:dyDescent="0.2">
      <c r="A2" s="1447" t="s">
        <v>345</v>
      </c>
      <c r="B2" s="1478" t="s">
        <v>686</v>
      </c>
      <c r="C2" s="1452" t="s">
        <v>306</v>
      </c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  <c r="T2" s="1452"/>
      <c r="U2" s="1452"/>
      <c r="V2" s="1452"/>
      <c r="W2" s="1479" t="s">
        <v>285</v>
      </c>
      <c r="X2" s="1481" t="s">
        <v>299</v>
      </c>
      <c r="Y2" s="1482"/>
      <c r="Z2" s="1482"/>
      <c r="AA2" s="1482"/>
      <c r="AB2" s="1482"/>
      <c r="AC2" s="1482"/>
      <c r="AD2" s="1482"/>
      <c r="AE2" s="1482"/>
      <c r="AF2" s="1482"/>
      <c r="AG2" s="1482"/>
      <c r="AH2" s="1482"/>
      <c r="AI2" s="1482"/>
      <c r="AJ2" s="1479" t="s">
        <v>687</v>
      </c>
      <c r="AO2" s="645"/>
    </row>
    <row r="3" spans="1:41" ht="25.5" customHeight="1" x14ac:dyDescent="0.2">
      <c r="A3" s="1448"/>
      <c r="B3" s="1458"/>
      <c r="C3" s="1458" t="s">
        <v>711</v>
      </c>
      <c r="D3" s="1458" t="s">
        <v>712</v>
      </c>
      <c r="E3" s="1458" t="s">
        <v>151</v>
      </c>
      <c r="F3" s="1458" t="s">
        <v>719</v>
      </c>
      <c r="G3" s="1458" t="s">
        <v>163</v>
      </c>
      <c r="H3" s="1483"/>
      <c r="I3" s="1458" t="s">
        <v>691</v>
      </c>
      <c r="J3" s="1458" t="s">
        <v>642</v>
      </c>
      <c r="K3" s="1458" t="s">
        <v>720</v>
      </c>
      <c r="L3" s="1458" t="s">
        <v>721</v>
      </c>
      <c r="M3" s="1458" t="s">
        <v>695</v>
      </c>
      <c r="N3" s="1458" t="s">
        <v>696</v>
      </c>
      <c r="O3" s="1486" t="s">
        <v>601</v>
      </c>
      <c r="P3" s="1486" t="s">
        <v>898</v>
      </c>
      <c r="Q3" s="1486" t="s">
        <v>873</v>
      </c>
      <c r="R3" s="1486" t="s">
        <v>874</v>
      </c>
      <c r="S3" s="1484" t="s">
        <v>899</v>
      </c>
      <c r="T3" s="1484" t="s">
        <v>891</v>
      </c>
      <c r="U3" s="1458" t="s">
        <v>697</v>
      </c>
      <c r="V3" s="1458" t="s">
        <v>722</v>
      </c>
      <c r="W3" s="1480"/>
      <c r="X3" s="1488" t="s">
        <v>699</v>
      </c>
      <c r="Y3" s="1458" t="s">
        <v>700</v>
      </c>
      <c r="Z3" s="1484" t="s">
        <v>695</v>
      </c>
      <c r="AA3" s="1458" t="s">
        <v>701</v>
      </c>
      <c r="AB3" s="1458" t="s">
        <v>702</v>
      </c>
      <c r="AC3" s="1458" t="s">
        <v>703</v>
      </c>
      <c r="AD3" s="1458" t="s">
        <v>627</v>
      </c>
      <c r="AE3" s="1458" t="s">
        <v>704</v>
      </c>
      <c r="AF3" s="1458" t="s">
        <v>705</v>
      </c>
      <c r="AG3" s="1458" t="s">
        <v>706</v>
      </c>
      <c r="AH3" s="1458" t="s">
        <v>707</v>
      </c>
      <c r="AI3" s="1458" t="s">
        <v>724</v>
      </c>
      <c r="AJ3" s="1480"/>
    </row>
    <row r="4" spans="1:41" ht="27" customHeight="1" x14ac:dyDescent="0.2">
      <c r="A4" s="1448"/>
      <c r="B4" s="1458"/>
      <c r="C4" s="1458"/>
      <c r="D4" s="1458"/>
      <c r="E4" s="1458"/>
      <c r="F4" s="1458"/>
      <c r="G4" s="702" t="s">
        <v>708</v>
      </c>
      <c r="H4" s="702" t="s">
        <v>709</v>
      </c>
      <c r="I4" s="1458"/>
      <c r="J4" s="1458"/>
      <c r="K4" s="1458"/>
      <c r="L4" s="1458"/>
      <c r="M4" s="1458"/>
      <c r="N4" s="1458"/>
      <c r="O4" s="1486"/>
      <c r="P4" s="1486"/>
      <c r="Q4" s="1486"/>
      <c r="R4" s="1487"/>
      <c r="S4" s="1485"/>
      <c r="T4" s="1485"/>
      <c r="U4" s="1483"/>
      <c r="V4" s="1483"/>
      <c r="W4" s="1480"/>
      <c r="X4" s="1488"/>
      <c r="Y4" s="1458"/>
      <c r="Z4" s="1485"/>
      <c r="AA4" s="1459"/>
      <c r="AB4" s="1459"/>
      <c r="AC4" s="1458"/>
      <c r="AD4" s="1459"/>
      <c r="AE4" s="1459"/>
      <c r="AF4" s="1459"/>
      <c r="AG4" s="1458"/>
      <c r="AH4" s="1458"/>
      <c r="AI4" s="1458"/>
      <c r="AJ4" s="1480"/>
    </row>
    <row r="5" spans="1:41" x14ac:dyDescent="0.2">
      <c r="A5" s="662">
        <v>1</v>
      </c>
      <c r="B5" s="668" t="s">
        <v>723</v>
      </c>
      <c r="C5" s="669">
        <f>+'Táj 3.1. Tételes mód ÖNK'!D76</f>
        <v>892</v>
      </c>
      <c r="D5" s="669">
        <f>+'Táj 3.1. Tételes mód ÖNK'!E76</f>
        <v>0</v>
      </c>
      <c r="E5" s="669">
        <f>+'Táj 3.1. Tételes mód ÖNK'!F76</f>
        <v>39145</v>
      </c>
      <c r="F5" s="669">
        <f>+'Táj 3.1. Tételes mód ÖNK'!G76</f>
        <v>0</v>
      </c>
      <c r="G5" s="669">
        <f>+'Táj 3.1. Tételes mód ÖNK'!H76</f>
        <v>-1231</v>
      </c>
      <c r="H5" s="669">
        <f>+'Táj 3.1. Tételes mód ÖNK'!I76</f>
        <v>500</v>
      </c>
      <c r="I5" s="669">
        <f>+'Táj 3.1. Tételes mód ÖNK'!J76</f>
        <v>30917</v>
      </c>
      <c r="J5" s="669">
        <f>+'Táj 3.1. Tételes mód ÖNK'!K76</f>
        <v>0</v>
      </c>
      <c r="K5" s="669">
        <f>+'Táj 3.1. Tételes mód ÖNK'!L76</f>
        <v>2518</v>
      </c>
      <c r="L5" s="669">
        <f>+'Táj 3.1. Tételes mód ÖNK'!M76</f>
        <v>0</v>
      </c>
      <c r="M5" s="669">
        <f>+'Táj 3.1. Tételes mód ÖNK'!N76</f>
        <v>426</v>
      </c>
      <c r="N5" s="669">
        <f>+'Táj 3.1. Tételes mód ÖNK'!O76</f>
        <v>0</v>
      </c>
      <c r="O5" s="669">
        <f>+'Táj 3.1. Tételes mód ÖNK'!P76</f>
        <v>-10761</v>
      </c>
      <c r="P5" s="669">
        <f>+'Táj 3.1. Tételes mód ÖNK'!Q76</f>
        <v>2952</v>
      </c>
      <c r="Q5" s="669">
        <f>+'Táj 3.1. Tételes mód ÖNK'!R76</f>
        <v>-136</v>
      </c>
      <c r="R5" s="669">
        <f>+'Táj 3.1. Tételes mód ÖNK'!S76</f>
        <v>-133</v>
      </c>
      <c r="S5" s="669">
        <f>+'Táj 3.1. Tételes mód ÖNK'!T76</f>
        <v>0</v>
      </c>
      <c r="T5" s="669">
        <f>+'Táj 3.1. Tételes mód ÖNK'!U76</f>
        <v>-11200</v>
      </c>
      <c r="U5" s="669">
        <f>+'Táj 3.1. Tételes mód ÖNK'!V76</f>
        <v>-41021</v>
      </c>
      <c r="V5" s="669">
        <f>+'Táj 3.1. Tételes mód ÖNK'!W76</f>
        <v>0</v>
      </c>
      <c r="W5" s="670">
        <f>SUM(C5:V5)</f>
        <v>12868</v>
      </c>
      <c r="X5" s="764">
        <f>+'Táj 3.1. Tételes mód ÖNK'!Y76</f>
        <v>0</v>
      </c>
      <c r="Y5" s="667">
        <f>+'Táj 3.1. Tételes mód ÖNK'!Z76</f>
        <v>1089</v>
      </c>
      <c r="Z5" s="667"/>
      <c r="AA5" s="667">
        <f>+'Táj 3.1. Tételes mód ÖNK'!AA76</f>
        <v>3779</v>
      </c>
      <c r="AB5" s="667">
        <f>+'Táj 3.1. Tételes mód ÖNK'!AB76</f>
        <v>8000</v>
      </c>
      <c r="AC5" s="667">
        <f>+'Táj 3.1. Tételes mód ÖNK'!AC76</f>
        <v>0</v>
      </c>
      <c r="AD5" s="667">
        <f>+'Táj 3.1. Tételes mód ÖNK'!AE76</f>
        <v>0</v>
      </c>
      <c r="AE5" s="667"/>
      <c r="AF5" s="667">
        <f>+'Táj 3.1. Tételes mód ÖNK'!AF76</f>
        <v>0</v>
      </c>
      <c r="AG5" s="667"/>
      <c r="AH5" s="667">
        <f>+'Táj 3.1. Tételes mód ÖNK'!AH76</f>
        <v>0</v>
      </c>
      <c r="AI5" s="667">
        <f>+'Táj 3.1. Tételes mód ÖNK'!AI76</f>
        <v>0</v>
      </c>
      <c r="AJ5" s="670">
        <f>SUM(X5:AI5)</f>
        <v>12868</v>
      </c>
    </row>
    <row r="6" spans="1:41" x14ac:dyDescent="0.2">
      <c r="A6" s="662">
        <v>2</v>
      </c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  <c r="V6" s="663"/>
      <c r="W6" s="670">
        <f t="shared" ref="W6:W8" si="0">SUM(C6:V6)</f>
        <v>0</v>
      </c>
      <c r="X6" s="765"/>
      <c r="Y6" s="663"/>
      <c r="Z6" s="663"/>
      <c r="AA6" s="663"/>
      <c r="AB6" s="663"/>
      <c r="AC6" s="663"/>
      <c r="AD6" s="663"/>
      <c r="AE6" s="663"/>
      <c r="AF6" s="663"/>
      <c r="AG6" s="663"/>
      <c r="AH6" s="663"/>
      <c r="AI6" s="663"/>
      <c r="AJ6" s="671"/>
    </row>
    <row r="7" spans="1:41" x14ac:dyDescent="0.2">
      <c r="A7" s="662">
        <v>3</v>
      </c>
      <c r="B7" s="663" t="s">
        <v>288</v>
      </c>
      <c r="C7" s="664">
        <f>+'Táj 3.2. Tételes mód PH'!C14</f>
        <v>1268</v>
      </c>
      <c r="D7" s="664">
        <f>+'Táj 3.2. Tételes mód PH'!D14</f>
        <v>201</v>
      </c>
      <c r="E7" s="664">
        <f>+'Táj 3.2. Tételes mód PH'!E14</f>
        <v>70</v>
      </c>
      <c r="F7" s="664"/>
      <c r="G7" s="664">
        <f>+'Táj 3.2. Tételes mód PH'!F14</f>
        <v>0</v>
      </c>
      <c r="H7" s="664">
        <f>+'Táj 3.2. Tételes mód PH'!G14</f>
        <v>0</v>
      </c>
      <c r="I7" s="664">
        <f>+'Táj 3.2. Tételes mód PH'!H14</f>
        <v>0</v>
      </c>
      <c r="J7" s="664">
        <f>+'Táj 3.2. Tételes mód PH'!I14</f>
        <v>0</v>
      </c>
      <c r="K7" s="664">
        <f>+'Táj 3.2. Tételes mód PH'!J14</f>
        <v>0</v>
      </c>
      <c r="L7" s="664"/>
      <c r="M7" s="664"/>
      <c r="N7" s="663"/>
      <c r="O7" s="663"/>
      <c r="P7" s="663"/>
      <c r="Q7" s="663"/>
      <c r="R7" s="663"/>
      <c r="S7" s="663"/>
      <c r="T7" s="663"/>
      <c r="U7" s="663"/>
      <c r="V7" s="663"/>
      <c r="W7" s="670">
        <f t="shared" si="0"/>
        <v>1539</v>
      </c>
      <c r="X7" s="766"/>
      <c r="Y7" s="664">
        <f>+'Táj 3.2. Tételes mód PH'!M14</f>
        <v>1539</v>
      </c>
      <c r="Z7" s="664">
        <f>+'Táj 3.2. Tételes mód PH'!N14</f>
        <v>0</v>
      </c>
      <c r="AA7" s="664"/>
      <c r="AB7" s="664">
        <f>+'Táj 3.2. Tételes mód PH'!O14</f>
        <v>0</v>
      </c>
      <c r="AC7" s="664">
        <f>+'Táj 3.2. Tételes mód PH'!P14</f>
        <v>0</v>
      </c>
      <c r="AD7" s="664"/>
      <c r="AE7" s="664"/>
      <c r="AF7" s="663"/>
      <c r="AG7" s="664"/>
      <c r="AH7" s="664"/>
      <c r="AI7" s="664">
        <f>+'Táj 3.2. Tételes mód PH'!T14</f>
        <v>0</v>
      </c>
      <c r="AJ7" s="672">
        <f>SUM(X7:AI7)</f>
        <v>1539</v>
      </c>
    </row>
    <row r="8" spans="1:41" x14ac:dyDescent="0.2">
      <c r="A8" s="662">
        <v>4</v>
      </c>
      <c r="B8" s="663" t="s">
        <v>289</v>
      </c>
      <c r="C8" s="664">
        <f>+'Táj 3.3. Tételes mód Óvoda'!C14</f>
        <v>369</v>
      </c>
      <c r="D8" s="664">
        <f>+'Táj 3.3. Tételes mód Óvoda'!D14</f>
        <v>57</v>
      </c>
      <c r="E8" s="664">
        <f>+'Táj 3.3. Tételes mód Óvoda'!E14</f>
        <v>0</v>
      </c>
      <c r="F8" s="664"/>
      <c r="G8" s="664">
        <f>+'Táj 3.3. Tételes mód Óvoda'!F14</f>
        <v>0</v>
      </c>
      <c r="H8" s="664">
        <f>+'Táj 3.3. Tételes mód Óvoda'!G14</f>
        <v>0</v>
      </c>
      <c r="I8" s="664">
        <f>+'Táj 3.3. Tételes mód Óvoda'!H14</f>
        <v>0</v>
      </c>
      <c r="J8" s="664"/>
      <c r="K8" s="664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70">
        <f t="shared" si="0"/>
        <v>426</v>
      </c>
      <c r="X8" s="766"/>
      <c r="Y8" s="664">
        <f>+'Táj 3.3. Tételes mód Óvoda'!M14</f>
        <v>0</v>
      </c>
      <c r="Z8" s="664">
        <f>+'Táj 3.3. Tételes mód Óvoda'!N14</f>
        <v>426</v>
      </c>
      <c r="AA8" s="664"/>
      <c r="AB8" s="664"/>
      <c r="AC8" s="664"/>
      <c r="AD8" s="664"/>
      <c r="AE8" s="664"/>
      <c r="AF8" s="664"/>
      <c r="AG8" s="664"/>
      <c r="AH8" s="664"/>
      <c r="AI8" s="664">
        <f>+'Táj 3.3. Tételes mód Óvoda'!T14</f>
        <v>0</v>
      </c>
      <c r="AJ8" s="672">
        <f>SUM(X8:AI8)</f>
        <v>426</v>
      </c>
    </row>
    <row r="9" spans="1:41" hidden="1" x14ac:dyDescent="0.2">
      <c r="A9" s="662">
        <v>5</v>
      </c>
      <c r="B9" s="663" t="s">
        <v>361</v>
      </c>
      <c r="C9" s="664">
        <f>+'12.d Tételes mód BBK'!C14</f>
        <v>0</v>
      </c>
      <c r="D9" s="664">
        <f>+'12.d Tételes mód BBK'!D14</f>
        <v>0</v>
      </c>
      <c r="E9" s="664">
        <f>+'12.d Tételes mód BBK'!E14</f>
        <v>0</v>
      </c>
      <c r="F9" s="664"/>
      <c r="G9" s="664">
        <f>+'12.d Tételes mód BBK'!F14</f>
        <v>0</v>
      </c>
      <c r="H9" s="664">
        <f>+'12.d Tételes mód BBK'!G14</f>
        <v>0</v>
      </c>
      <c r="I9" s="664">
        <f>+'12.d Tételes mód BBK'!H14</f>
        <v>0</v>
      </c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3"/>
      <c r="W9" s="670">
        <f>SUM(C9:V9)</f>
        <v>0</v>
      </c>
      <c r="X9" s="766"/>
      <c r="Y9" s="664">
        <f>+'12.d Tételes mód BBK'!M14</f>
        <v>0</v>
      </c>
      <c r="Z9" s="664">
        <f>+'12.d Tételes mód BBK'!N14</f>
        <v>0</v>
      </c>
      <c r="AA9" s="664"/>
      <c r="AB9" s="664"/>
      <c r="AC9" s="664"/>
      <c r="AD9" s="664"/>
      <c r="AE9" s="664"/>
      <c r="AF9" s="664"/>
      <c r="AG9" s="664"/>
      <c r="AH9" s="664"/>
      <c r="AI9" s="664">
        <f>+'12.d Tételes mód BBK'!T14</f>
        <v>0</v>
      </c>
      <c r="AJ9" s="673">
        <f>SUM(Y9:AI9)</f>
        <v>0</v>
      </c>
    </row>
    <row r="10" spans="1:41" x14ac:dyDescent="0.2">
      <c r="A10" s="662">
        <v>5</v>
      </c>
      <c r="B10" s="668" t="s">
        <v>297</v>
      </c>
      <c r="C10" s="668">
        <f t="shared" ref="C10:K10" si="1">SUM(C7:C9)</f>
        <v>1637</v>
      </c>
      <c r="D10" s="668">
        <f t="shared" si="1"/>
        <v>258</v>
      </c>
      <c r="E10" s="668">
        <f t="shared" si="1"/>
        <v>70</v>
      </c>
      <c r="F10" s="668">
        <f t="shared" si="1"/>
        <v>0</v>
      </c>
      <c r="G10" s="668">
        <f t="shared" si="1"/>
        <v>0</v>
      </c>
      <c r="H10" s="669">
        <f t="shared" si="1"/>
        <v>0</v>
      </c>
      <c r="I10" s="669">
        <f t="shared" si="1"/>
        <v>0</v>
      </c>
      <c r="J10" s="668">
        <f t="shared" si="1"/>
        <v>0</v>
      </c>
      <c r="K10" s="668">
        <f t="shared" si="1"/>
        <v>0</v>
      </c>
      <c r="L10" s="668"/>
      <c r="M10" s="668">
        <f>SUM(M7:M9)</f>
        <v>0</v>
      </c>
      <c r="N10" s="668">
        <f>SUM(N7:N9)</f>
        <v>0</v>
      </c>
      <c r="O10" s="668">
        <f>SUM(O7:O9)</f>
        <v>0</v>
      </c>
      <c r="P10" s="668"/>
      <c r="Q10" s="668"/>
      <c r="R10" s="668"/>
      <c r="S10" s="668"/>
      <c r="T10" s="668">
        <f t="shared" ref="T10:AE10" si="2">SUM(T7:T9)</f>
        <v>0</v>
      </c>
      <c r="U10" s="668"/>
      <c r="V10" s="668">
        <f t="shared" si="2"/>
        <v>0</v>
      </c>
      <c r="W10" s="670">
        <f>SUM(C10:V10)</f>
        <v>1965</v>
      </c>
      <c r="X10" s="767">
        <f t="shared" si="2"/>
        <v>0</v>
      </c>
      <c r="Y10" s="669">
        <f>SUM(Y7:Y9)</f>
        <v>1539</v>
      </c>
      <c r="Z10" s="669">
        <f>SUM(Z7:Z9)</f>
        <v>426</v>
      </c>
      <c r="AA10" s="668">
        <f t="shared" si="2"/>
        <v>0</v>
      </c>
      <c r="AB10" s="668">
        <f t="shared" si="2"/>
        <v>0</v>
      </c>
      <c r="AC10" s="668">
        <f t="shared" si="2"/>
        <v>0</v>
      </c>
      <c r="AD10" s="668">
        <f t="shared" si="2"/>
        <v>0</v>
      </c>
      <c r="AE10" s="668">
        <f t="shared" si="2"/>
        <v>0</v>
      </c>
      <c r="AF10" s="668"/>
      <c r="AG10" s="668">
        <f>SUM(AG7:AG9)</f>
        <v>0</v>
      </c>
      <c r="AH10" s="668">
        <f>SUM(AH7:AH9)</f>
        <v>0</v>
      </c>
      <c r="AI10" s="668">
        <f>SUM(AI7:AI9)</f>
        <v>0</v>
      </c>
      <c r="AJ10" s="673">
        <f>SUM(AJ7:AJ9)</f>
        <v>1965</v>
      </c>
    </row>
    <row r="11" spans="1:41" x14ac:dyDescent="0.2">
      <c r="A11" s="662">
        <v>6</v>
      </c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  <c r="U11" s="663"/>
      <c r="V11" s="663"/>
      <c r="W11" s="671">
        <f>SUM(C11:V11)</f>
        <v>0</v>
      </c>
      <c r="X11" s="765"/>
      <c r="Y11" s="663"/>
      <c r="Z11" s="663"/>
      <c r="AA11" s="663"/>
      <c r="AB11" s="663"/>
      <c r="AC11" s="663"/>
      <c r="AD11" s="663"/>
      <c r="AE11" s="663"/>
      <c r="AF11" s="663"/>
      <c r="AG11" s="663"/>
      <c r="AH11" s="663"/>
      <c r="AI11" s="663"/>
      <c r="AJ11" s="673">
        <f>SUM(Y11:AI11)</f>
        <v>0</v>
      </c>
    </row>
    <row r="12" spans="1:41" ht="13.5" thickBot="1" x14ac:dyDescent="0.25">
      <c r="A12" s="666">
        <v>7</v>
      </c>
      <c r="B12" s="674" t="s">
        <v>278</v>
      </c>
      <c r="C12" s="675">
        <f t="shared" ref="C12:L12" si="3">C5+C10</f>
        <v>2529</v>
      </c>
      <c r="D12" s="675">
        <f t="shared" si="3"/>
        <v>258</v>
      </c>
      <c r="E12" s="675">
        <f t="shared" si="3"/>
        <v>39215</v>
      </c>
      <c r="F12" s="675">
        <f t="shared" si="3"/>
        <v>0</v>
      </c>
      <c r="G12" s="675">
        <f t="shared" si="3"/>
        <v>-1231</v>
      </c>
      <c r="H12" s="675">
        <f t="shared" si="3"/>
        <v>500</v>
      </c>
      <c r="I12" s="675">
        <f t="shared" si="3"/>
        <v>30917</v>
      </c>
      <c r="J12" s="675">
        <f t="shared" si="3"/>
        <v>0</v>
      </c>
      <c r="K12" s="675">
        <f t="shared" si="3"/>
        <v>2518</v>
      </c>
      <c r="L12" s="675">
        <f t="shared" si="3"/>
        <v>0</v>
      </c>
      <c r="M12" s="675"/>
      <c r="N12" s="675">
        <f t="shared" ref="N12:V12" si="4">N5+N10</f>
        <v>0</v>
      </c>
      <c r="O12" s="675">
        <f t="shared" si="4"/>
        <v>-10761</v>
      </c>
      <c r="P12" s="675">
        <f t="shared" si="4"/>
        <v>2952</v>
      </c>
      <c r="Q12" s="675">
        <f t="shared" si="4"/>
        <v>-136</v>
      </c>
      <c r="R12" s="675">
        <f t="shared" si="4"/>
        <v>-133</v>
      </c>
      <c r="S12" s="675">
        <f t="shared" si="4"/>
        <v>0</v>
      </c>
      <c r="T12" s="675">
        <f t="shared" si="4"/>
        <v>-11200</v>
      </c>
      <c r="U12" s="675">
        <f t="shared" si="4"/>
        <v>-41021</v>
      </c>
      <c r="V12" s="675">
        <f t="shared" si="4"/>
        <v>0</v>
      </c>
      <c r="W12" s="676">
        <f>SUM(C12:V12)</f>
        <v>14407</v>
      </c>
      <c r="X12" s="768">
        <f>X5+X10</f>
        <v>0</v>
      </c>
      <c r="Y12" s="675">
        <f>Y5+Y10</f>
        <v>2628</v>
      </c>
      <c r="Z12" s="675"/>
      <c r="AA12" s="675">
        <f>SUM(AA5+AA10)</f>
        <v>3779</v>
      </c>
      <c r="AB12" s="675">
        <f>AB5+AB10</f>
        <v>8000</v>
      </c>
      <c r="AC12" s="675">
        <f t="shared" ref="AC12:AH12" si="5">AC5+AC10</f>
        <v>0</v>
      </c>
      <c r="AD12" s="675">
        <f t="shared" si="5"/>
        <v>0</v>
      </c>
      <c r="AE12" s="675">
        <f t="shared" si="5"/>
        <v>0</v>
      </c>
      <c r="AF12" s="675">
        <f t="shared" si="5"/>
        <v>0</v>
      </c>
      <c r="AG12" s="675">
        <f t="shared" si="5"/>
        <v>0</v>
      </c>
      <c r="AH12" s="675">
        <f t="shared" si="5"/>
        <v>0</v>
      </c>
      <c r="AI12" s="675">
        <f>AI5+AI10</f>
        <v>0</v>
      </c>
      <c r="AJ12" s="676">
        <f>SUM(X12:AI12)</f>
        <v>14407</v>
      </c>
    </row>
  </sheetData>
  <mergeCells count="38"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  <mergeCell ref="Z3:Z4"/>
    <mergeCell ref="M3:M4"/>
    <mergeCell ref="N3:N4"/>
    <mergeCell ref="O3:O4"/>
    <mergeCell ref="P3:P4"/>
    <mergeCell ref="Q3:Q4"/>
    <mergeCell ref="R3:R4"/>
    <mergeCell ref="T3:T4"/>
    <mergeCell ref="U3:U4"/>
    <mergeCell ref="V3:V4"/>
    <mergeCell ref="X3:X4"/>
    <mergeCell ref="Y3:Y4"/>
    <mergeCell ref="S3:S4"/>
    <mergeCell ref="L3:L4"/>
    <mergeCell ref="AH1:AJ1"/>
    <mergeCell ref="A2:A4"/>
    <mergeCell ref="B2:B4"/>
    <mergeCell ref="C2:V2"/>
    <mergeCell ref="W2:W4"/>
    <mergeCell ref="X2:AI2"/>
    <mergeCell ref="AJ2:AJ4"/>
    <mergeCell ref="C3:C4"/>
    <mergeCell ref="D3:D4"/>
    <mergeCell ref="E3:E4"/>
    <mergeCell ref="F3:F4"/>
    <mergeCell ref="G3:H3"/>
    <mergeCell ref="I3:I4"/>
    <mergeCell ref="J3:J4"/>
    <mergeCell ref="K3:K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6" fitToWidth="2" orientation="landscape" r:id="rId1"/>
  <headerFooter>
    <oddHeader>&amp;C&amp;"Times New Roman,Félkövér"&amp;12Martonvásár Város Önkormányzatának 2021. évi költségvetés módosításainak részletezése
&amp;"Times New Roman,Normál"(Intézményekkel együtt)&amp;R&amp;"Times New Roman,Félkövér"&amp;12 3. számú tájékoztató</oddHeader>
  </headerFooter>
  <colBreaks count="1" manualBreakCount="1">
    <brk id="23" max="1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53" sqref="Q53"/>
    </sheetView>
  </sheetViews>
  <sheetFormatPr defaultColWidth="9.140625" defaultRowHeight="12.75" x14ac:dyDescent="0.2"/>
  <cols>
    <col min="1" max="1" width="4.42578125" style="644" customWidth="1"/>
    <col min="2" max="2" width="18" style="677" bestFit="1" customWidth="1"/>
    <col min="3" max="3" width="45.5703125" style="644" customWidth="1"/>
    <col min="4" max="4" width="7.7109375" style="644" customWidth="1"/>
    <col min="5" max="5" width="7.5703125" style="644" customWidth="1"/>
    <col min="6" max="6" width="8.28515625" style="643" customWidth="1"/>
    <col min="7" max="7" width="7.42578125" style="644" customWidth="1"/>
    <col min="8" max="8" width="7.85546875" style="644" customWidth="1"/>
    <col min="9" max="9" width="6.5703125" style="644" customWidth="1"/>
    <col min="10" max="10" width="9.42578125" style="644" customWidth="1"/>
    <col min="11" max="11" width="10" style="661" customWidth="1"/>
    <col min="12" max="12" width="9.140625" style="644" customWidth="1"/>
    <col min="13" max="13" width="7.28515625" style="644" customWidth="1"/>
    <col min="14" max="14" width="8.140625" style="644" customWidth="1"/>
    <col min="15" max="15" width="7.28515625" style="644" customWidth="1"/>
    <col min="16" max="16" width="9.28515625" style="643" customWidth="1"/>
    <col min="17" max="17" width="8.42578125" style="643" customWidth="1"/>
    <col min="18" max="19" width="9.85546875" style="643" customWidth="1"/>
    <col min="20" max="21" width="9.85546875" style="644" customWidth="1"/>
    <col min="22" max="22" width="9.5703125" style="644" bestFit="1" customWidth="1"/>
    <col min="23" max="23" width="8" style="644" customWidth="1"/>
    <col min="24" max="24" width="15" style="644" bestFit="1" customWidth="1"/>
    <col min="25" max="25" width="9" style="643" customWidth="1"/>
    <col min="26" max="26" width="7.85546875" style="644" customWidth="1"/>
    <col min="27" max="27" width="10.5703125" style="644" customWidth="1"/>
    <col min="28" max="28" width="8.7109375" style="644" customWidth="1"/>
    <col min="29" max="29" width="9.140625" style="644" customWidth="1"/>
    <col min="30" max="30" width="9.7109375" style="644" customWidth="1"/>
    <col min="31" max="31" width="11.42578125" style="644" customWidth="1"/>
    <col min="32" max="32" width="9.5703125" style="644" customWidth="1"/>
    <col min="33" max="34" width="9.28515625" style="644" customWidth="1"/>
    <col min="35" max="35" width="10.85546875" style="644" customWidth="1"/>
    <col min="36" max="36" width="11.140625" style="644" customWidth="1"/>
    <col min="37" max="41" width="9.140625" style="644" customWidth="1"/>
    <col min="42" max="16384" width="9.140625" style="644"/>
  </cols>
  <sheetData>
    <row r="1" spans="1:36" ht="13.5" thickBot="1" x14ac:dyDescent="0.25">
      <c r="A1" s="1490"/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1490"/>
      <c r="M1" s="1490"/>
      <c r="N1" s="1490"/>
      <c r="O1" s="1490"/>
      <c r="P1" s="1490"/>
      <c r="Q1" s="1490"/>
      <c r="R1" s="1490"/>
      <c r="S1" s="1490"/>
      <c r="T1" s="1490"/>
      <c r="U1" s="1490"/>
      <c r="V1" s="1490"/>
      <c r="W1" s="1490"/>
      <c r="X1" s="1490"/>
      <c r="AH1" s="1477" t="s">
        <v>383</v>
      </c>
      <c r="AI1" s="1477"/>
      <c r="AJ1" s="1477"/>
    </row>
    <row r="2" spans="1:36" ht="16.5" customHeight="1" x14ac:dyDescent="0.2">
      <c r="A2" s="1447" t="s">
        <v>653</v>
      </c>
      <c r="B2" s="1491"/>
      <c r="C2" s="1494" t="s">
        <v>686</v>
      </c>
      <c r="D2" s="1496" t="s">
        <v>306</v>
      </c>
      <c r="E2" s="1496"/>
      <c r="F2" s="1496"/>
      <c r="G2" s="1496"/>
      <c r="H2" s="1496"/>
      <c r="I2" s="1496"/>
      <c r="J2" s="1496"/>
      <c r="K2" s="1496"/>
      <c r="L2" s="1496"/>
      <c r="M2" s="1496"/>
      <c r="N2" s="1496"/>
      <c r="O2" s="1496"/>
      <c r="P2" s="1496"/>
      <c r="Q2" s="1496"/>
      <c r="R2" s="1496"/>
      <c r="S2" s="1496"/>
      <c r="T2" s="1496"/>
      <c r="U2" s="1496"/>
      <c r="V2" s="1331"/>
      <c r="W2" s="957"/>
      <c r="X2" s="1497" t="s">
        <v>285</v>
      </c>
      <c r="Y2" s="1496" t="s">
        <v>299</v>
      </c>
      <c r="Z2" s="1496"/>
      <c r="AA2" s="1496"/>
      <c r="AB2" s="1496"/>
      <c r="AC2" s="1496"/>
      <c r="AD2" s="1496"/>
      <c r="AE2" s="1496"/>
      <c r="AF2" s="1496"/>
      <c r="AG2" s="1496"/>
      <c r="AH2" s="1496"/>
      <c r="AI2" s="1496"/>
      <c r="AJ2" s="1499" t="s">
        <v>687</v>
      </c>
    </row>
    <row r="3" spans="1:36" s="962" customFormat="1" ht="25.5" customHeight="1" x14ac:dyDescent="0.2">
      <c r="A3" s="1448"/>
      <c r="B3" s="1492"/>
      <c r="C3" s="1495"/>
      <c r="D3" s="1501" t="s">
        <v>688</v>
      </c>
      <c r="E3" s="1501" t="s">
        <v>689</v>
      </c>
      <c r="F3" s="1502" t="s">
        <v>151</v>
      </c>
      <c r="G3" s="1501" t="s">
        <v>690</v>
      </c>
      <c r="H3" s="1501" t="s">
        <v>163</v>
      </c>
      <c r="I3" s="1503"/>
      <c r="J3" s="1501" t="s">
        <v>691</v>
      </c>
      <c r="K3" s="1489" t="s">
        <v>692</v>
      </c>
      <c r="L3" s="1501" t="s">
        <v>693</v>
      </c>
      <c r="M3" s="1501" t="s">
        <v>694</v>
      </c>
      <c r="N3" s="1501" t="s">
        <v>695</v>
      </c>
      <c r="O3" s="1501" t="s">
        <v>696</v>
      </c>
      <c r="P3" s="1502" t="s">
        <v>601</v>
      </c>
      <c r="Q3" s="1502" t="s">
        <v>898</v>
      </c>
      <c r="R3" s="1502" t="s">
        <v>873</v>
      </c>
      <c r="S3" s="1502" t="s">
        <v>874</v>
      </c>
      <c r="T3" s="1506" t="s">
        <v>899</v>
      </c>
      <c r="U3" s="1506" t="s">
        <v>891</v>
      </c>
      <c r="V3" s="1501" t="s">
        <v>697</v>
      </c>
      <c r="W3" s="1501" t="s">
        <v>698</v>
      </c>
      <c r="X3" s="1498"/>
      <c r="Y3" s="1501" t="s">
        <v>699</v>
      </c>
      <c r="Z3" s="1501" t="s">
        <v>700</v>
      </c>
      <c r="AA3" s="1501" t="s">
        <v>701</v>
      </c>
      <c r="AB3" s="1501" t="s">
        <v>702</v>
      </c>
      <c r="AC3" s="1501" t="s">
        <v>703</v>
      </c>
      <c r="AD3" s="1501" t="s">
        <v>627</v>
      </c>
      <c r="AE3" s="1501" t="s">
        <v>704</v>
      </c>
      <c r="AF3" s="1501" t="s">
        <v>705</v>
      </c>
      <c r="AG3" s="1501" t="s">
        <v>706</v>
      </c>
      <c r="AH3" s="1501" t="s">
        <v>707</v>
      </c>
      <c r="AI3" s="1501" t="s">
        <v>726</v>
      </c>
      <c r="AJ3" s="1500"/>
    </row>
    <row r="4" spans="1:36" s="962" customFormat="1" ht="35.25" customHeight="1" x14ac:dyDescent="0.2">
      <c r="A4" s="1448"/>
      <c r="B4" s="1493"/>
      <c r="C4" s="1495"/>
      <c r="D4" s="1501"/>
      <c r="E4" s="1501"/>
      <c r="F4" s="1502"/>
      <c r="G4" s="1501"/>
      <c r="H4" s="963" t="s">
        <v>708</v>
      </c>
      <c r="I4" s="963" t="s">
        <v>709</v>
      </c>
      <c r="J4" s="1501"/>
      <c r="K4" s="1489"/>
      <c r="L4" s="1501"/>
      <c r="M4" s="1504"/>
      <c r="N4" s="1501"/>
      <c r="O4" s="1501"/>
      <c r="P4" s="1502"/>
      <c r="Q4" s="1502"/>
      <c r="R4" s="1502"/>
      <c r="S4" s="1505"/>
      <c r="T4" s="1507"/>
      <c r="U4" s="1507"/>
      <c r="V4" s="1504"/>
      <c r="W4" s="1501"/>
      <c r="X4" s="1498"/>
      <c r="Y4" s="1501"/>
      <c r="Z4" s="1501"/>
      <c r="AA4" s="1503"/>
      <c r="AB4" s="1503"/>
      <c r="AC4" s="1501"/>
      <c r="AD4" s="1503"/>
      <c r="AE4" s="1503"/>
      <c r="AF4" s="1503"/>
      <c r="AG4" s="1501"/>
      <c r="AH4" s="1501"/>
      <c r="AI4" s="1501"/>
      <c r="AJ4" s="1500"/>
    </row>
    <row r="5" spans="1:36" s="643" customFormat="1" ht="12.75" customHeight="1" x14ac:dyDescent="0.2">
      <c r="A5" s="646">
        <v>1</v>
      </c>
      <c r="B5" s="688" t="s">
        <v>945</v>
      </c>
      <c r="C5" s="700" t="s">
        <v>946</v>
      </c>
      <c r="D5" s="665"/>
      <c r="E5" s="665"/>
      <c r="F5" s="665"/>
      <c r="G5" s="651"/>
      <c r="H5" s="651"/>
      <c r="I5" s="651"/>
      <c r="J5" s="651">
        <v>10000</v>
      </c>
      <c r="K5" s="842"/>
      <c r="L5" s="652"/>
      <c r="M5" s="652"/>
      <c r="N5" s="651"/>
      <c r="O5" s="652"/>
      <c r="P5" s="651"/>
      <c r="Q5" s="652"/>
      <c r="R5" s="651"/>
      <c r="S5" s="651"/>
      <c r="T5" s="651"/>
      <c r="U5" s="651"/>
      <c r="V5" s="651">
        <v>-10000</v>
      </c>
      <c r="W5" s="652"/>
      <c r="X5" s="649">
        <f t="shared" ref="X5:X28" si="0">SUM(D5:W5)</f>
        <v>0</v>
      </c>
      <c r="Y5" s="650"/>
      <c r="Z5" s="651"/>
      <c r="AA5" s="651"/>
      <c r="AB5" s="652"/>
      <c r="AC5" s="652"/>
      <c r="AD5" s="652"/>
      <c r="AE5" s="652"/>
      <c r="AF5" s="652"/>
      <c r="AG5" s="652"/>
      <c r="AH5" s="652"/>
      <c r="AI5" s="651"/>
      <c r="AJ5" s="653">
        <f>SUM(Y5:AI5)</f>
        <v>0</v>
      </c>
    </row>
    <row r="6" spans="1:36" s="643" customFormat="1" ht="25.5" x14ac:dyDescent="0.2">
      <c r="A6" s="646">
        <v>2</v>
      </c>
      <c r="B6" s="688" t="s">
        <v>948</v>
      </c>
      <c r="C6" s="654" t="s">
        <v>949</v>
      </c>
      <c r="D6" s="651"/>
      <c r="E6" s="651"/>
      <c r="F6" s="651">
        <v>-24</v>
      </c>
      <c r="G6" s="651"/>
      <c r="H6" s="651"/>
      <c r="I6" s="651"/>
      <c r="J6" s="651"/>
      <c r="K6" s="842"/>
      <c r="L6" s="651">
        <v>2510</v>
      </c>
      <c r="M6" s="652"/>
      <c r="N6" s="651"/>
      <c r="O6" s="652"/>
      <c r="P6" s="651">
        <v>-2486</v>
      </c>
      <c r="Q6" s="652"/>
      <c r="R6" s="651"/>
      <c r="S6" s="651"/>
      <c r="T6" s="651"/>
      <c r="U6" s="651"/>
      <c r="V6" s="651"/>
      <c r="W6" s="652"/>
      <c r="X6" s="649">
        <f t="shared" si="0"/>
        <v>0</v>
      </c>
      <c r="Y6" s="650"/>
      <c r="Z6" s="651"/>
      <c r="AA6" s="651"/>
      <c r="AB6" s="652"/>
      <c r="AC6" s="652"/>
      <c r="AD6" s="652"/>
      <c r="AE6" s="652"/>
      <c r="AF6" s="652"/>
      <c r="AG6" s="652"/>
      <c r="AH6" s="652"/>
      <c r="AI6" s="652"/>
      <c r="AJ6" s="653">
        <f t="shared" ref="AJ6:AJ53" si="1">SUM(Y6:AI6)</f>
        <v>0</v>
      </c>
    </row>
    <row r="7" spans="1:36" s="643" customFormat="1" x14ac:dyDescent="0.2">
      <c r="A7" s="646">
        <v>3</v>
      </c>
      <c r="B7" s="688" t="s">
        <v>950</v>
      </c>
      <c r="C7" s="654" t="s">
        <v>951</v>
      </c>
      <c r="D7" s="651"/>
      <c r="E7" s="651"/>
      <c r="F7" s="651"/>
      <c r="G7" s="651"/>
      <c r="H7" s="651"/>
      <c r="I7" s="651"/>
      <c r="J7" s="651">
        <v>2095</v>
      </c>
      <c r="K7" s="842"/>
      <c r="L7" s="652"/>
      <c r="M7" s="652"/>
      <c r="N7" s="651"/>
      <c r="O7" s="652"/>
      <c r="P7" s="651"/>
      <c r="Q7" s="652"/>
      <c r="R7" s="651"/>
      <c r="S7" s="651"/>
      <c r="T7" s="651"/>
      <c r="U7" s="651"/>
      <c r="V7" s="651">
        <v>-2095</v>
      </c>
      <c r="W7" s="652"/>
      <c r="X7" s="649">
        <f t="shared" si="0"/>
        <v>0</v>
      </c>
      <c r="Y7" s="650"/>
      <c r="Z7" s="651"/>
      <c r="AA7" s="651"/>
      <c r="AB7" s="652"/>
      <c r="AC7" s="652"/>
      <c r="AD7" s="652"/>
      <c r="AE7" s="652"/>
      <c r="AF7" s="652"/>
      <c r="AG7" s="652"/>
      <c r="AH7" s="652"/>
      <c r="AI7" s="652"/>
      <c r="AJ7" s="653">
        <f t="shared" si="1"/>
        <v>0</v>
      </c>
    </row>
    <row r="8" spans="1:36" s="643" customFormat="1" ht="25.5" x14ac:dyDescent="0.2">
      <c r="A8" s="646">
        <v>4</v>
      </c>
      <c r="B8" s="946" t="s">
        <v>953</v>
      </c>
      <c r="C8" s="654" t="s">
        <v>954</v>
      </c>
      <c r="D8" s="651"/>
      <c r="E8" s="651"/>
      <c r="F8" s="651"/>
      <c r="G8" s="651"/>
      <c r="H8" s="651"/>
      <c r="I8" s="651"/>
      <c r="J8" s="651">
        <v>1000</v>
      </c>
      <c r="K8" s="842"/>
      <c r="L8" s="652"/>
      <c r="M8" s="652"/>
      <c r="N8" s="651"/>
      <c r="O8" s="652"/>
      <c r="P8" s="651"/>
      <c r="Q8" s="652"/>
      <c r="R8" s="651"/>
      <c r="S8" s="651"/>
      <c r="T8" s="651"/>
      <c r="U8" s="651"/>
      <c r="V8" s="651">
        <v>-1000</v>
      </c>
      <c r="W8" s="652"/>
      <c r="X8" s="649">
        <f t="shared" si="0"/>
        <v>0</v>
      </c>
      <c r="Y8" s="650"/>
      <c r="Z8" s="651"/>
      <c r="AA8" s="651"/>
      <c r="AB8" s="651"/>
      <c r="AC8" s="652"/>
      <c r="AD8" s="651"/>
      <c r="AE8" s="652"/>
      <c r="AF8" s="651"/>
      <c r="AG8" s="652"/>
      <c r="AH8" s="652"/>
      <c r="AI8" s="652"/>
      <c r="AJ8" s="653">
        <f t="shared" si="1"/>
        <v>0</v>
      </c>
    </row>
    <row r="9" spans="1:36" s="643" customFormat="1" x14ac:dyDescent="0.2">
      <c r="A9" s="646">
        <v>5</v>
      </c>
      <c r="B9" s="946" t="s">
        <v>956</v>
      </c>
      <c r="C9" s="654" t="s">
        <v>957</v>
      </c>
      <c r="D9" s="651"/>
      <c r="E9" s="651"/>
      <c r="F9" s="651"/>
      <c r="G9" s="651"/>
      <c r="H9" s="651"/>
      <c r="I9" s="651"/>
      <c r="J9" s="651">
        <v>2578</v>
      </c>
      <c r="K9" s="842"/>
      <c r="L9" s="652"/>
      <c r="M9" s="652"/>
      <c r="N9" s="651"/>
      <c r="O9" s="652"/>
      <c r="P9" s="651"/>
      <c r="Q9" s="652"/>
      <c r="R9" s="651"/>
      <c r="S9" s="651"/>
      <c r="T9" s="651"/>
      <c r="U9" s="651"/>
      <c r="V9" s="651">
        <v>-2578</v>
      </c>
      <c r="W9" s="652"/>
      <c r="X9" s="649">
        <f t="shared" si="0"/>
        <v>0</v>
      </c>
      <c r="Y9" s="650"/>
      <c r="Z9" s="651"/>
      <c r="AA9" s="651"/>
      <c r="AB9" s="651"/>
      <c r="AC9" s="652"/>
      <c r="AD9" s="652"/>
      <c r="AE9" s="652"/>
      <c r="AF9" s="651"/>
      <c r="AG9" s="652"/>
      <c r="AH9" s="652"/>
      <c r="AI9" s="651"/>
      <c r="AJ9" s="653">
        <f t="shared" si="1"/>
        <v>0</v>
      </c>
    </row>
    <row r="10" spans="1:36" s="643" customFormat="1" x14ac:dyDescent="0.2">
      <c r="A10" s="646">
        <v>6</v>
      </c>
      <c r="B10" s="688" t="s">
        <v>958</v>
      </c>
      <c r="C10" s="654" t="s">
        <v>959</v>
      </c>
      <c r="D10" s="651"/>
      <c r="E10" s="651"/>
      <c r="F10" s="651">
        <v>64</v>
      </c>
      <c r="G10" s="651"/>
      <c r="H10" s="651"/>
      <c r="I10" s="651"/>
      <c r="J10" s="651"/>
      <c r="K10" s="842"/>
      <c r="L10" s="652"/>
      <c r="M10" s="652"/>
      <c r="N10" s="651"/>
      <c r="O10" s="652"/>
      <c r="P10" s="651"/>
      <c r="Q10" s="651"/>
      <c r="R10" s="651"/>
      <c r="S10" s="651"/>
      <c r="T10" s="651"/>
      <c r="U10" s="651"/>
      <c r="V10" s="651">
        <v>-64</v>
      </c>
      <c r="W10" s="652"/>
      <c r="X10" s="649">
        <f t="shared" si="0"/>
        <v>0</v>
      </c>
      <c r="Y10" s="650"/>
      <c r="Z10" s="651"/>
      <c r="AA10" s="651"/>
      <c r="AB10" s="651"/>
      <c r="AC10" s="652"/>
      <c r="AD10" s="652"/>
      <c r="AE10" s="652"/>
      <c r="AF10" s="651"/>
      <c r="AG10" s="652"/>
      <c r="AH10" s="652"/>
      <c r="AI10" s="651"/>
      <c r="AJ10" s="653">
        <f t="shared" si="1"/>
        <v>0</v>
      </c>
    </row>
    <row r="11" spans="1:36" s="643" customFormat="1" ht="25.5" x14ac:dyDescent="0.2">
      <c r="A11" s="646">
        <v>7</v>
      </c>
      <c r="B11" s="688" t="s">
        <v>960</v>
      </c>
      <c r="C11" s="654" t="s">
        <v>1013</v>
      </c>
      <c r="D11" s="651"/>
      <c r="E11" s="651"/>
      <c r="F11" s="651">
        <v>3268</v>
      </c>
      <c r="G11" s="651"/>
      <c r="H11" s="651"/>
      <c r="I11" s="651"/>
      <c r="J11" s="651"/>
      <c r="K11" s="842"/>
      <c r="L11" s="652"/>
      <c r="M11" s="652"/>
      <c r="N11" s="651"/>
      <c r="O11" s="652"/>
      <c r="P11" s="651"/>
      <c r="Q11" s="652"/>
      <c r="R11" s="651"/>
      <c r="S11" s="651"/>
      <c r="T11" s="651"/>
      <c r="U11" s="651"/>
      <c r="V11" s="651">
        <v>-3268</v>
      </c>
      <c r="W11" s="652"/>
      <c r="X11" s="649">
        <f t="shared" si="0"/>
        <v>0</v>
      </c>
      <c r="Y11" s="650"/>
      <c r="Z11" s="651"/>
      <c r="AA11" s="651"/>
      <c r="AB11" s="652"/>
      <c r="AC11" s="651"/>
      <c r="AD11" s="652"/>
      <c r="AE11" s="651"/>
      <c r="AF11" s="651"/>
      <c r="AG11" s="652"/>
      <c r="AH11" s="652"/>
      <c r="AI11" s="652"/>
      <c r="AJ11" s="653">
        <f t="shared" si="1"/>
        <v>0</v>
      </c>
    </row>
    <row r="12" spans="1:36" s="643" customFormat="1" ht="25.5" x14ac:dyDescent="0.2">
      <c r="A12" s="646">
        <v>8</v>
      </c>
      <c r="B12" s="688" t="s">
        <v>961</v>
      </c>
      <c r="C12" s="654" t="s">
        <v>963</v>
      </c>
      <c r="D12" s="651"/>
      <c r="E12" s="651"/>
      <c r="F12" s="651">
        <v>56</v>
      </c>
      <c r="G12" s="651"/>
      <c r="H12" s="651"/>
      <c r="I12" s="651"/>
      <c r="J12" s="651"/>
      <c r="K12" s="842"/>
      <c r="L12" s="652"/>
      <c r="M12" s="652"/>
      <c r="N12" s="651"/>
      <c r="O12" s="652"/>
      <c r="P12" s="651"/>
      <c r="Q12" s="652"/>
      <c r="R12" s="651"/>
      <c r="S12" s="651"/>
      <c r="T12" s="651"/>
      <c r="U12" s="651"/>
      <c r="V12" s="651">
        <v>-56</v>
      </c>
      <c r="W12" s="652"/>
      <c r="X12" s="649">
        <f t="shared" si="0"/>
        <v>0</v>
      </c>
      <c r="Y12" s="650"/>
      <c r="Z12" s="651"/>
      <c r="AA12" s="651"/>
      <c r="AB12" s="651"/>
      <c r="AC12" s="652"/>
      <c r="AD12" s="652"/>
      <c r="AE12" s="652"/>
      <c r="AF12" s="651"/>
      <c r="AG12" s="652"/>
      <c r="AH12" s="652"/>
      <c r="AI12" s="652"/>
      <c r="AJ12" s="653">
        <f t="shared" si="1"/>
        <v>0</v>
      </c>
    </row>
    <row r="13" spans="1:36" s="643" customFormat="1" ht="25.5" x14ac:dyDescent="0.2">
      <c r="A13" s="646">
        <v>9</v>
      </c>
      <c r="B13" s="688" t="s">
        <v>962</v>
      </c>
      <c r="C13" s="654" t="s">
        <v>964</v>
      </c>
      <c r="D13" s="651"/>
      <c r="E13" s="651"/>
      <c r="F13" s="651">
        <v>91</v>
      </c>
      <c r="G13" s="651"/>
      <c r="H13" s="651"/>
      <c r="I13" s="651"/>
      <c r="J13" s="651"/>
      <c r="K13" s="842"/>
      <c r="L13" s="652"/>
      <c r="M13" s="652"/>
      <c r="N13" s="651"/>
      <c r="O13" s="652"/>
      <c r="P13" s="651"/>
      <c r="Q13" s="652"/>
      <c r="R13" s="651"/>
      <c r="S13" s="651"/>
      <c r="T13" s="651"/>
      <c r="U13" s="651"/>
      <c r="V13" s="651">
        <v>-91</v>
      </c>
      <c r="W13" s="652"/>
      <c r="X13" s="649">
        <f t="shared" si="0"/>
        <v>0</v>
      </c>
      <c r="Y13" s="650"/>
      <c r="Z13" s="651"/>
      <c r="AA13" s="651"/>
      <c r="AB13" s="651"/>
      <c r="AC13" s="652"/>
      <c r="AD13" s="652"/>
      <c r="AE13" s="652"/>
      <c r="AF13" s="651"/>
      <c r="AG13" s="652"/>
      <c r="AH13" s="652"/>
      <c r="AI13" s="652"/>
      <c r="AJ13" s="653">
        <f t="shared" si="1"/>
        <v>0</v>
      </c>
    </row>
    <row r="14" spans="1:36" s="643" customFormat="1" x14ac:dyDescent="0.2">
      <c r="A14" s="646">
        <v>10</v>
      </c>
      <c r="B14" s="688" t="s">
        <v>965</v>
      </c>
      <c r="C14" s="654" t="s">
        <v>966</v>
      </c>
      <c r="D14" s="651"/>
      <c r="E14" s="651"/>
      <c r="F14" s="651"/>
      <c r="G14" s="651"/>
      <c r="H14" s="651"/>
      <c r="I14" s="651"/>
      <c r="J14" s="651">
        <v>110</v>
      </c>
      <c r="K14" s="842"/>
      <c r="L14" s="652"/>
      <c r="M14" s="651"/>
      <c r="N14" s="651"/>
      <c r="O14" s="652"/>
      <c r="P14" s="651">
        <v>-110</v>
      </c>
      <c r="Q14" s="651"/>
      <c r="R14" s="651"/>
      <c r="S14" s="651"/>
      <c r="T14" s="651"/>
      <c r="U14" s="651"/>
      <c r="V14" s="651"/>
      <c r="W14" s="651"/>
      <c r="X14" s="649">
        <f t="shared" si="0"/>
        <v>0</v>
      </c>
      <c r="Y14" s="650"/>
      <c r="Z14" s="651"/>
      <c r="AA14" s="651"/>
      <c r="AB14" s="652"/>
      <c r="AC14" s="652"/>
      <c r="AD14" s="652"/>
      <c r="AE14" s="652"/>
      <c r="AF14" s="651"/>
      <c r="AG14" s="652"/>
      <c r="AH14" s="652"/>
      <c r="AI14" s="651"/>
      <c r="AJ14" s="653">
        <f t="shared" si="1"/>
        <v>0</v>
      </c>
    </row>
    <row r="15" spans="1:36" x14ac:dyDescent="0.2">
      <c r="A15" s="646">
        <v>11</v>
      </c>
      <c r="B15" s="688" t="s">
        <v>968</v>
      </c>
      <c r="C15" s="654" t="s">
        <v>969</v>
      </c>
      <c r="D15" s="655"/>
      <c r="E15" s="655"/>
      <c r="F15" s="651"/>
      <c r="G15" s="655"/>
      <c r="H15" s="655"/>
      <c r="I15" s="655"/>
      <c r="J15" s="655">
        <v>1167</v>
      </c>
      <c r="K15" s="843"/>
      <c r="L15" s="655"/>
      <c r="M15" s="655"/>
      <c r="N15" s="655"/>
      <c r="O15" s="655"/>
      <c r="P15" s="651"/>
      <c r="Q15" s="651"/>
      <c r="R15" s="651"/>
      <c r="S15" s="651"/>
      <c r="T15" s="651"/>
      <c r="U15" s="651"/>
      <c r="V15" s="651">
        <v>-1167</v>
      </c>
      <c r="W15" s="655"/>
      <c r="X15" s="649">
        <f t="shared" si="0"/>
        <v>0</v>
      </c>
      <c r="Y15" s="650"/>
      <c r="Z15" s="655"/>
      <c r="AA15" s="655"/>
      <c r="AB15" s="655"/>
      <c r="AC15" s="655"/>
      <c r="AD15" s="655"/>
      <c r="AE15" s="655"/>
      <c r="AF15" s="655"/>
      <c r="AG15" s="655"/>
      <c r="AH15" s="656"/>
      <c r="AI15" s="656"/>
      <c r="AJ15" s="653">
        <f t="shared" si="1"/>
        <v>0</v>
      </c>
    </row>
    <row r="16" spans="1:36" s="684" customFormat="1" x14ac:dyDescent="0.25">
      <c r="A16" s="646">
        <v>12</v>
      </c>
      <c r="B16" s="688" t="s">
        <v>971</v>
      </c>
      <c r="C16" s="921" t="s">
        <v>972</v>
      </c>
      <c r="D16" s="690"/>
      <c r="E16" s="690"/>
      <c r="F16" s="691">
        <v>1251</v>
      </c>
      <c r="G16" s="690"/>
      <c r="H16" s="690"/>
      <c r="I16" s="690"/>
      <c r="J16" s="690"/>
      <c r="K16" s="844"/>
      <c r="L16" s="690"/>
      <c r="M16" s="690"/>
      <c r="N16" s="690"/>
      <c r="O16" s="690"/>
      <c r="P16" s="691"/>
      <c r="Q16" s="691"/>
      <c r="R16" s="691"/>
      <c r="S16" s="691"/>
      <c r="T16" s="691"/>
      <c r="U16" s="691"/>
      <c r="V16" s="691">
        <v>-1251</v>
      </c>
      <c r="W16" s="690"/>
      <c r="X16" s="692">
        <f t="shared" si="0"/>
        <v>0</v>
      </c>
      <c r="Y16" s="687"/>
      <c r="Z16" s="690"/>
      <c r="AA16" s="690"/>
      <c r="AB16" s="690"/>
      <c r="AC16" s="690"/>
      <c r="AD16" s="690"/>
      <c r="AE16" s="690"/>
      <c r="AF16" s="690"/>
      <c r="AG16" s="690"/>
      <c r="AH16" s="756"/>
      <c r="AI16" s="756"/>
      <c r="AJ16" s="693">
        <f t="shared" si="1"/>
        <v>0</v>
      </c>
    </row>
    <row r="17" spans="1:36" s="643" customFormat="1" x14ac:dyDescent="0.2">
      <c r="A17" s="646">
        <v>13</v>
      </c>
      <c r="B17" s="688" t="s">
        <v>973</v>
      </c>
      <c r="C17" s="654" t="s">
        <v>974</v>
      </c>
      <c r="D17" s="651"/>
      <c r="E17" s="651"/>
      <c r="F17" s="651">
        <v>46</v>
      </c>
      <c r="G17" s="651"/>
      <c r="H17" s="651"/>
      <c r="I17" s="651"/>
      <c r="J17" s="651"/>
      <c r="K17" s="842"/>
      <c r="L17" s="651"/>
      <c r="M17" s="652"/>
      <c r="N17" s="651"/>
      <c r="O17" s="652"/>
      <c r="P17" s="651"/>
      <c r="Q17" s="651"/>
      <c r="R17" s="651"/>
      <c r="S17" s="651"/>
      <c r="T17" s="651"/>
      <c r="U17" s="651"/>
      <c r="V17" s="651">
        <v>-46</v>
      </c>
      <c r="W17" s="652"/>
      <c r="X17" s="649">
        <f t="shared" si="0"/>
        <v>0</v>
      </c>
      <c r="Y17" s="650"/>
      <c r="Z17" s="651"/>
      <c r="AA17" s="651"/>
      <c r="AB17" s="652"/>
      <c r="AC17" s="652"/>
      <c r="AD17" s="652"/>
      <c r="AE17" s="652"/>
      <c r="AF17" s="651"/>
      <c r="AG17" s="652"/>
      <c r="AH17" s="652"/>
      <c r="AI17" s="652"/>
      <c r="AJ17" s="653">
        <f t="shared" si="1"/>
        <v>0</v>
      </c>
    </row>
    <row r="18" spans="1:36" s="643" customFormat="1" x14ac:dyDescent="0.2">
      <c r="A18" s="646">
        <v>14</v>
      </c>
      <c r="B18" s="688" t="s">
        <v>975</v>
      </c>
      <c r="C18" s="678" t="s">
        <v>976</v>
      </c>
      <c r="D18" s="691"/>
      <c r="E18" s="691"/>
      <c r="F18" s="691"/>
      <c r="G18" s="691"/>
      <c r="H18" s="691"/>
      <c r="I18" s="691"/>
      <c r="J18" s="691">
        <v>1437</v>
      </c>
      <c r="K18" s="845"/>
      <c r="L18" s="691"/>
      <c r="M18" s="826"/>
      <c r="N18" s="691"/>
      <c r="O18" s="826"/>
      <c r="P18" s="691"/>
      <c r="Q18" s="691"/>
      <c r="R18" s="691"/>
      <c r="S18" s="691"/>
      <c r="T18" s="691"/>
      <c r="U18" s="691"/>
      <c r="V18" s="691">
        <v>-1437</v>
      </c>
      <c r="W18" s="691"/>
      <c r="X18" s="692">
        <f t="shared" si="0"/>
        <v>0</v>
      </c>
      <c r="Y18" s="687"/>
      <c r="Z18" s="691"/>
      <c r="AA18" s="691"/>
      <c r="AB18" s="826"/>
      <c r="AC18" s="826"/>
      <c r="AD18" s="826"/>
      <c r="AE18" s="826"/>
      <c r="AF18" s="691"/>
      <c r="AG18" s="826"/>
      <c r="AH18" s="826"/>
      <c r="AI18" s="826"/>
      <c r="AJ18" s="693">
        <f t="shared" si="1"/>
        <v>0</v>
      </c>
    </row>
    <row r="19" spans="1:36" s="643" customFormat="1" x14ac:dyDescent="0.2">
      <c r="A19" s="646">
        <v>15</v>
      </c>
      <c r="B19" s="688" t="s">
        <v>978</v>
      </c>
      <c r="C19" s="654" t="s">
        <v>979</v>
      </c>
      <c r="D19" s="651"/>
      <c r="E19" s="651"/>
      <c r="F19" s="651">
        <v>110</v>
      </c>
      <c r="G19" s="651"/>
      <c r="H19" s="651"/>
      <c r="I19" s="651"/>
      <c r="J19" s="651"/>
      <c r="K19" s="842"/>
      <c r="L19" s="651"/>
      <c r="M19" s="652"/>
      <c r="N19" s="651"/>
      <c r="O19" s="652"/>
      <c r="P19" s="651"/>
      <c r="Q19" s="651"/>
      <c r="R19" s="651"/>
      <c r="S19" s="651"/>
      <c r="T19" s="651"/>
      <c r="U19" s="651"/>
      <c r="V19" s="651">
        <v>-110</v>
      </c>
      <c r="W19" s="651"/>
      <c r="X19" s="649">
        <f t="shared" si="0"/>
        <v>0</v>
      </c>
      <c r="Y19" s="650"/>
      <c r="Z19" s="651"/>
      <c r="AA19" s="651"/>
      <c r="AB19" s="652"/>
      <c r="AC19" s="652"/>
      <c r="AD19" s="652"/>
      <c r="AE19" s="652"/>
      <c r="AF19" s="651"/>
      <c r="AG19" s="652"/>
      <c r="AH19" s="652"/>
      <c r="AI19" s="652"/>
      <c r="AJ19" s="653">
        <f t="shared" si="1"/>
        <v>0</v>
      </c>
    </row>
    <row r="20" spans="1:36" s="643" customFormat="1" x14ac:dyDescent="0.2">
      <c r="A20" s="646">
        <v>16</v>
      </c>
      <c r="B20" s="688" t="s">
        <v>980</v>
      </c>
      <c r="C20" s="678" t="s">
        <v>981</v>
      </c>
      <c r="D20" s="651"/>
      <c r="E20" s="651"/>
      <c r="F20" s="651"/>
      <c r="G20" s="651"/>
      <c r="H20" s="651"/>
      <c r="I20" s="651"/>
      <c r="J20" s="651"/>
      <c r="K20" s="842"/>
      <c r="L20" s="651"/>
      <c r="M20" s="652"/>
      <c r="N20" s="651"/>
      <c r="O20" s="652"/>
      <c r="P20" s="651"/>
      <c r="Q20" s="651"/>
      <c r="R20" s="651"/>
      <c r="S20" s="651"/>
      <c r="T20" s="651"/>
      <c r="U20" s="651"/>
      <c r="V20" s="651">
        <v>708</v>
      </c>
      <c r="W20" s="651"/>
      <c r="X20" s="649">
        <f t="shared" si="0"/>
        <v>708</v>
      </c>
      <c r="Y20" s="650"/>
      <c r="Z20" s="651">
        <v>708</v>
      </c>
      <c r="AA20" s="651"/>
      <c r="AB20" s="652"/>
      <c r="AC20" s="652"/>
      <c r="AD20" s="652"/>
      <c r="AE20" s="652"/>
      <c r="AF20" s="651"/>
      <c r="AG20" s="652"/>
      <c r="AH20" s="652"/>
      <c r="AI20" s="652"/>
      <c r="AJ20" s="653">
        <f t="shared" si="1"/>
        <v>708</v>
      </c>
    </row>
    <row r="21" spans="1:36" s="643" customFormat="1" ht="25.5" x14ac:dyDescent="0.2">
      <c r="A21" s="646">
        <v>17</v>
      </c>
      <c r="B21" s="688"/>
      <c r="C21" s="654" t="s">
        <v>984</v>
      </c>
      <c r="D21" s="651"/>
      <c r="E21" s="651"/>
      <c r="F21" s="651">
        <v>140</v>
      </c>
      <c r="G21" s="651"/>
      <c r="H21" s="651"/>
      <c r="I21" s="651"/>
      <c r="J21" s="651"/>
      <c r="K21" s="842"/>
      <c r="L21" s="651"/>
      <c r="M21" s="652"/>
      <c r="N21" s="651"/>
      <c r="O21" s="652"/>
      <c r="P21" s="651"/>
      <c r="Q21" s="651"/>
      <c r="R21" s="651"/>
      <c r="S21" s="651"/>
      <c r="T21" s="651"/>
      <c r="U21" s="651"/>
      <c r="V21" s="651">
        <v>-140</v>
      </c>
      <c r="W21" s="651"/>
      <c r="X21" s="649">
        <f t="shared" si="0"/>
        <v>0</v>
      </c>
      <c r="Y21" s="650"/>
      <c r="Z21" s="651"/>
      <c r="AA21" s="651"/>
      <c r="AB21" s="652"/>
      <c r="AC21" s="652"/>
      <c r="AD21" s="652"/>
      <c r="AE21" s="652"/>
      <c r="AF21" s="651"/>
      <c r="AG21" s="652"/>
      <c r="AH21" s="652"/>
      <c r="AI21" s="652"/>
      <c r="AJ21" s="653">
        <f t="shared" si="1"/>
        <v>0</v>
      </c>
    </row>
    <row r="22" spans="1:36" s="643" customFormat="1" x14ac:dyDescent="0.2">
      <c r="A22" s="646">
        <v>18</v>
      </c>
      <c r="B22" s="688" t="s">
        <v>985</v>
      </c>
      <c r="C22" s="654" t="s">
        <v>1008</v>
      </c>
      <c r="D22" s="651"/>
      <c r="E22" s="651"/>
      <c r="F22" s="651">
        <v>13</v>
      </c>
      <c r="G22" s="651"/>
      <c r="H22" s="651"/>
      <c r="I22" s="651"/>
      <c r="J22" s="651"/>
      <c r="K22" s="842"/>
      <c r="L22" s="651"/>
      <c r="M22" s="652"/>
      <c r="N22" s="651"/>
      <c r="O22" s="652"/>
      <c r="P22" s="651"/>
      <c r="Q22" s="651"/>
      <c r="R22" s="651"/>
      <c r="S22" s="651"/>
      <c r="T22" s="651"/>
      <c r="U22" s="651">
        <v>-13</v>
      </c>
      <c r="V22" s="651"/>
      <c r="W22" s="651"/>
      <c r="X22" s="649">
        <f t="shared" si="0"/>
        <v>0</v>
      </c>
      <c r="Y22" s="650"/>
      <c r="Z22" s="651"/>
      <c r="AA22" s="651"/>
      <c r="AB22" s="652"/>
      <c r="AC22" s="652"/>
      <c r="AD22" s="652"/>
      <c r="AE22" s="652"/>
      <c r="AF22" s="651"/>
      <c r="AG22" s="652"/>
      <c r="AH22" s="652"/>
      <c r="AI22" s="652"/>
      <c r="AJ22" s="653">
        <f t="shared" si="1"/>
        <v>0</v>
      </c>
    </row>
    <row r="23" spans="1:36" s="643" customFormat="1" ht="25.5" x14ac:dyDescent="0.2">
      <c r="A23" s="646">
        <v>19</v>
      </c>
      <c r="B23" s="688" t="s">
        <v>987</v>
      </c>
      <c r="C23" s="654" t="s">
        <v>988</v>
      </c>
      <c r="D23" s="651"/>
      <c r="E23" s="651"/>
      <c r="F23" s="651">
        <v>82</v>
      </c>
      <c r="G23" s="651"/>
      <c r="H23" s="651"/>
      <c r="I23" s="651"/>
      <c r="J23" s="651"/>
      <c r="K23" s="842"/>
      <c r="L23" s="651"/>
      <c r="M23" s="651"/>
      <c r="N23" s="651"/>
      <c r="O23" s="652"/>
      <c r="P23" s="651"/>
      <c r="Q23" s="651"/>
      <c r="R23" s="651"/>
      <c r="S23" s="651"/>
      <c r="T23" s="651"/>
      <c r="U23" s="651"/>
      <c r="V23" s="651">
        <v>-82</v>
      </c>
      <c r="W23" s="651"/>
      <c r="X23" s="649">
        <f t="shared" si="0"/>
        <v>0</v>
      </c>
      <c r="Y23" s="650"/>
      <c r="Z23" s="651"/>
      <c r="AA23" s="651"/>
      <c r="AB23" s="652"/>
      <c r="AC23" s="652"/>
      <c r="AD23" s="652"/>
      <c r="AE23" s="648"/>
      <c r="AF23" s="651"/>
      <c r="AG23" s="652"/>
      <c r="AH23" s="652"/>
      <c r="AI23" s="651"/>
      <c r="AJ23" s="653">
        <f t="shared" si="1"/>
        <v>0</v>
      </c>
    </row>
    <row r="24" spans="1:36" s="643" customFormat="1" ht="18.75" customHeight="1" x14ac:dyDescent="0.2">
      <c r="A24" s="646">
        <v>20</v>
      </c>
      <c r="B24" s="688" t="s">
        <v>989</v>
      </c>
      <c r="C24" s="654" t="s">
        <v>990</v>
      </c>
      <c r="D24" s="651"/>
      <c r="E24" s="651"/>
      <c r="F24" s="651"/>
      <c r="G24" s="651"/>
      <c r="H24" s="651"/>
      <c r="I24" s="651"/>
      <c r="J24" s="651">
        <v>165</v>
      </c>
      <c r="K24" s="842"/>
      <c r="L24" s="651"/>
      <c r="M24" s="652"/>
      <c r="N24" s="651"/>
      <c r="O24" s="652"/>
      <c r="P24" s="651"/>
      <c r="Q24" s="651"/>
      <c r="R24" s="651"/>
      <c r="S24" s="651"/>
      <c r="T24" s="651"/>
      <c r="U24" s="651"/>
      <c r="V24" s="651">
        <v>-165</v>
      </c>
      <c r="W24" s="651"/>
      <c r="X24" s="649">
        <f t="shared" si="0"/>
        <v>0</v>
      </c>
      <c r="Y24" s="650"/>
      <c r="Z24" s="651"/>
      <c r="AA24" s="651"/>
      <c r="AB24" s="651"/>
      <c r="AC24" s="651"/>
      <c r="AD24" s="652"/>
      <c r="AE24" s="652"/>
      <c r="AF24" s="652"/>
      <c r="AG24" s="652"/>
      <c r="AH24" s="652"/>
      <c r="AI24" s="652"/>
      <c r="AJ24" s="653">
        <f t="shared" si="1"/>
        <v>0</v>
      </c>
    </row>
    <row r="25" spans="1:36" s="643" customFormat="1" ht="25.5" x14ac:dyDescent="0.2">
      <c r="A25" s="646">
        <v>21</v>
      </c>
      <c r="B25" s="688" t="s">
        <v>991</v>
      </c>
      <c r="C25" s="839" t="s">
        <v>992</v>
      </c>
      <c r="D25" s="651"/>
      <c r="E25" s="651"/>
      <c r="F25" s="651"/>
      <c r="G25" s="651"/>
      <c r="H25" s="651"/>
      <c r="I25" s="651"/>
      <c r="J25" s="651">
        <v>871</v>
      </c>
      <c r="K25" s="842"/>
      <c r="L25" s="651"/>
      <c r="M25" s="652"/>
      <c r="N25" s="651"/>
      <c r="O25" s="652"/>
      <c r="P25" s="651"/>
      <c r="Q25" s="651"/>
      <c r="R25" s="651"/>
      <c r="S25" s="651"/>
      <c r="T25" s="651"/>
      <c r="U25" s="651"/>
      <c r="V25" s="651">
        <v>-871</v>
      </c>
      <c r="W25" s="651"/>
      <c r="X25" s="649">
        <f t="shared" si="0"/>
        <v>0</v>
      </c>
      <c r="Y25" s="650"/>
      <c r="Z25" s="651"/>
      <c r="AA25" s="651"/>
      <c r="AB25" s="651"/>
      <c r="AC25" s="652"/>
      <c r="AD25" s="651"/>
      <c r="AE25" s="651"/>
      <c r="AF25" s="651"/>
      <c r="AG25" s="652"/>
      <c r="AH25" s="652"/>
      <c r="AI25" s="651"/>
      <c r="AJ25" s="653">
        <f t="shared" si="1"/>
        <v>0</v>
      </c>
    </row>
    <row r="26" spans="1:36" s="643" customFormat="1" x14ac:dyDescent="0.2">
      <c r="A26" s="646">
        <v>22</v>
      </c>
      <c r="B26" s="688" t="s">
        <v>993</v>
      </c>
      <c r="C26" s="654" t="s">
        <v>1009</v>
      </c>
      <c r="D26" s="651"/>
      <c r="E26" s="651"/>
      <c r="F26" s="651">
        <v>607</v>
      </c>
      <c r="G26" s="651"/>
      <c r="H26" s="651"/>
      <c r="I26" s="651"/>
      <c r="J26" s="651"/>
      <c r="K26" s="842"/>
      <c r="L26" s="651"/>
      <c r="M26" s="651"/>
      <c r="N26" s="651"/>
      <c r="O26" s="652"/>
      <c r="P26" s="651"/>
      <c r="Q26" s="651"/>
      <c r="R26" s="651"/>
      <c r="S26" s="651"/>
      <c r="T26" s="651"/>
      <c r="U26" s="651">
        <v>-607</v>
      </c>
      <c r="V26" s="651"/>
      <c r="W26" s="651"/>
      <c r="X26" s="649">
        <f t="shared" si="0"/>
        <v>0</v>
      </c>
      <c r="Y26" s="650"/>
      <c r="Z26" s="651"/>
      <c r="AA26" s="651"/>
      <c r="AB26" s="651"/>
      <c r="AC26" s="652"/>
      <c r="AD26" s="652"/>
      <c r="AE26" s="652"/>
      <c r="AF26" s="652"/>
      <c r="AG26" s="652"/>
      <c r="AH26" s="652"/>
      <c r="AI26" s="651"/>
      <c r="AJ26" s="653">
        <f t="shared" si="1"/>
        <v>0</v>
      </c>
    </row>
    <row r="27" spans="1:36" s="643" customFormat="1" x14ac:dyDescent="0.2">
      <c r="A27" s="646">
        <v>23</v>
      </c>
      <c r="B27" s="688" t="s">
        <v>994</v>
      </c>
      <c r="C27" s="654" t="s">
        <v>995</v>
      </c>
      <c r="D27" s="647"/>
      <c r="E27" s="651"/>
      <c r="F27" s="651"/>
      <c r="G27" s="651"/>
      <c r="H27" s="651"/>
      <c r="I27" s="651"/>
      <c r="J27" s="651">
        <v>1221</v>
      </c>
      <c r="K27" s="648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>
        <v>-1221</v>
      </c>
      <c r="W27" s="651"/>
      <c r="X27" s="649">
        <f t="shared" si="0"/>
        <v>0</v>
      </c>
      <c r="Y27" s="650"/>
      <c r="Z27" s="651"/>
      <c r="AA27" s="651"/>
      <c r="AB27" s="651"/>
      <c r="AC27" s="651"/>
      <c r="AD27" s="651"/>
      <c r="AE27" s="651"/>
      <c r="AF27" s="651"/>
      <c r="AG27" s="651"/>
      <c r="AH27" s="651"/>
      <c r="AI27" s="651"/>
      <c r="AJ27" s="653">
        <f t="shared" si="1"/>
        <v>0</v>
      </c>
    </row>
    <row r="28" spans="1:36" s="643" customFormat="1" x14ac:dyDescent="0.2">
      <c r="A28" s="646">
        <v>24</v>
      </c>
      <c r="B28" s="919" t="s">
        <v>997</v>
      </c>
      <c r="C28" s="700" t="s">
        <v>1010</v>
      </c>
      <c r="D28" s="919"/>
      <c r="E28" s="919"/>
      <c r="F28" s="919"/>
      <c r="G28" s="919"/>
      <c r="H28" s="919"/>
      <c r="I28" s="919"/>
      <c r="J28" s="919">
        <v>460</v>
      </c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919"/>
      <c r="V28" s="919">
        <v>-460</v>
      </c>
      <c r="W28" s="651"/>
      <c r="X28" s="649">
        <f t="shared" si="0"/>
        <v>0</v>
      </c>
      <c r="Y28" s="650"/>
      <c r="Z28" s="651"/>
      <c r="AA28" s="651"/>
      <c r="AB28" s="652"/>
      <c r="AC28" s="652"/>
      <c r="AD28" s="652"/>
      <c r="AE28" s="652"/>
      <c r="AF28" s="652"/>
      <c r="AG28" s="652"/>
      <c r="AH28" s="652"/>
      <c r="AI28" s="652"/>
      <c r="AJ28" s="653">
        <f t="shared" si="1"/>
        <v>0</v>
      </c>
    </row>
    <row r="29" spans="1:36" s="643" customFormat="1" ht="27" customHeight="1" x14ac:dyDescent="0.2">
      <c r="A29" s="646">
        <v>25</v>
      </c>
      <c r="B29" s="688" t="s">
        <v>999</v>
      </c>
      <c r="C29" s="654" t="s">
        <v>1000</v>
      </c>
      <c r="D29" s="647"/>
      <c r="E29" s="651"/>
      <c r="F29" s="651">
        <v>41</v>
      </c>
      <c r="G29" s="651"/>
      <c r="H29" s="651"/>
      <c r="I29" s="651"/>
      <c r="J29" s="651"/>
      <c r="K29" s="648"/>
      <c r="L29" s="651"/>
      <c r="M29" s="652"/>
      <c r="N29" s="651"/>
      <c r="O29" s="652"/>
      <c r="P29" s="651"/>
      <c r="Q29" s="651"/>
      <c r="R29" s="651"/>
      <c r="S29" s="651"/>
      <c r="T29" s="651"/>
      <c r="U29" s="651"/>
      <c r="V29" s="651">
        <v>-41</v>
      </c>
      <c r="W29" s="651"/>
      <c r="X29" s="649">
        <f t="shared" ref="X29:X76" si="2">SUM(D29:W29)</f>
        <v>0</v>
      </c>
      <c r="Y29" s="650"/>
      <c r="Z29" s="651"/>
      <c r="AA29" s="651"/>
      <c r="AB29" s="651"/>
      <c r="AC29" s="652"/>
      <c r="AD29" s="652"/>
      <c r="AE29" s="652"/>
      <c r="AF29" s="651"/>
      <c r="AG29" s="652"/>
      <c r="AH29" s="652"/>
      <c r="AI29" s="652"/>
      <c r="AJ29" s="653">
        <f t="shared" si="1"/>
        <v>0</v>
      </c>
    </row>
    <row r="30" spans="1:36" s="643" customFormat="1" ht="25.5" x14ac:dyDescent="0.2">
      <c r="A30" s="646">
        <v>26</v>
      </c>
      <c r="B30" s="688" t="s">
        <v>1001</v>
      </c>
      <c r="C30" s="654" t="s">
        <v>1011</v>
      </c>
      <c r="D30" s="647"/>
      <c r="E30" s="651"/>
      <c r="F30" s="651">
        <f>-10+1390</f>
        <v>1380</v>
      </c>
      <c r="G30" s="651"/>
      <c r="H30" s="651"/>
      <c r="I30" s="651"/>
      <c r="J30" s="651"/>
      <c r="K30" s="648"/>
      <c r="L30" s="651"/>
      <c r="M30" s="652"/>
      <c r="N30" s="651"/>
      <c r="O30" s="651"/>
      <c r="P30" s="651"/>
      <c r="Q30" s="651"/>
      <c r="R30" s="651"/>
      <c r="S30" s="651"/>
      <c r="T30" s="651"/>
      <c r="U30" s="651">
        <v>-1380</v>
      </c>
      <c r="V30" s="651"/>
      <c r="W30" s="651"/>
      <c r="X30" s="649">
        <f t="shared" si="2"/>
        <v>0</v>
      </c>
      <c r="Y30" s="650"/>
      <c r="Z30" s="651"/>
      <c r="AA30" s="651"/>
      <c r="AB30" s="652"/>
      <c r="AC30" s="652"/>
      <c r="AD30" s="652"/>
      <c r="AE30" s="652"/>
      <c r="AF30" s="652"/>
      <c r="AG30" s="652"/>
      <c r="AH30" s="652"/>
      <c r="AI30" s="652"/>
      <c r="AJ30" s="653">
        <f t="shared" si="1"/>
        <v>0</v>
      </c>
    </row>
    <row r="31" spans="1:36" s="643" customFormat="1" x14ac:dyDescent="0.2">
      <c r="A31" s="646">
        <v>27</v>
      </c>
      <c r="B31" s="688" t="s">
        <v>1002</v>
      </c>
      <c r="C31" s="654" t="s">
        <v>1003</v>
      </c>
      <c r="D31" s="647"/>
      <c r="E31" s="651"/>
      <c r="F31" s="651">
        <v>70</v>
      </c>
      <c r="G31" s="651"/>
      <c r="H31" s="651"/>
      <c r="I31" s="651"/>
      <c r="J31" s="651"/>
      <c r="K31" s="648"/>
      <c r="L31" s="651"/>
      <c r="M31" s="652"/>
      <c r="N31" s="651"/>
      <c r="O31" s="652"/>
      <c r="P31" s="651"/>
      <c r="Q31" s="651"/>
      <c r="R31" s="651"/>
      <c r="S31" s="651"/>
      <c r="T31" s="651"/>
      <c r="U31" s="651"/>
      <c r="V31" s="651">
        <v>-70</v>
      </c>
      <c r="W31" s="651"/>
      <c r="X31" s="649">
        <f t="shared" si="2"/>
        <v>0</v>
      </c>
      <c r="Y31" s="650"/>
      <c r="Z31" s="651"/>
      <c r="AA31" s="651"/>
      <c r="AB31" s="652"/>
      <c r="AC31" s="652"/>
      <c r="AD31" s="652"/>
      <c r="AE31" s="652"/>
      <c r="AF31" s="652"/>
      <c r="AG31" s="652"/>
      <c r="AH31" s="652"/>
      <c r="AI31" s="652"/>
      <c r="AJ31" s="653">
        <f t="shared" si="1"/>
        <v>0</v>
      </c>
    </row>
    <row r="32" spans="1:36" s="643" customFormat="1" ht="25.5" customHeight="1" x14ac:dyDescent="0.2">
      <c r="A32" s="646">
        <v>28</v>
      </c>
      <c r="B32" s="688" t="s">
        <v>1004</v>
      </c>
      <c r="C32" s="654" t="s">
        <v>1005</v>
      </c>
      <c r="D32" s="647"/>
      <c r="E32" s="651"/>
      <c r="F32" s="651"/>
      <c r="G32" s="651"/>
      <c r="H32" s="651"/>
      <c r="I32" s="651"/>
      <c r="J32" s="651">
        <v>1283</v>
      </c>
      <c r="K32" s="648"/>
      <c r="L32" s="651"/>
      <c r="M32" s="652"/>
      <c r="N32" s="651"/>
      <c r="O32" s="652"/>
      <c r="P32" s="651"/>
      <c r="Q32" s="651"/>
      <c r="R32" s="651"/>
      <c r="S32" s="651"/>
      <c r="T32" s="651"/>
      <c r="U32" s="651"/>
      <c r="V32" s="651">
        <v>-1283</v>
      </c>
      <c r="W32" s="651"/>
      <c r="X32" s="649">
        <f t="shared" si="2"/>
        <v>0</v>
      </c>
      <c r="Y32" s="650"/>
      <c r="Z32" s="651"/>
      <c r="AA32" s="651"/>
      <c r="AB32" s="652"/>
      <c r="AC32" s="652"/>
      <c r="AD32" s="652"/>
      <c r="AE32" s="652"/>
      <c r="AF32" s="652"/>
      <c r="AG32" s="652"/>
      <c r="AH32" s="652"/>
      <c r="AI32" s="652"/>
      <c r="AJ32" s="653">
        <f t="shared" si="1"/>
        <v>0</v>
      </c>
    </row>
    <row r="33" spans="1:36" s="643" customFormat="1" x14ac:dyDescent="0.2">
      <c r="A33" s="646">
        <v>29</v>
      </c>
      <c r="B33" s="688" t="s">
        <v>1006</v>
      </c>
      <c r="C33" s="654" t="s">
        <v>1007</v>
      </c>
      <c r="D33" s="647"/>
      <c r="E33" s="651"/>
      <c r="F33" s="651">
        <v>36</v>
      </c>
      <c r="G33" s="651"/>
      <c r="H33" s="651"/>
      <c r="I33" s="651"/>
      <c r="J33" s="651"/>
      <c r="K33" s="648"/>
      <c r="L33" s="651"/>
      <c r="M33" s="652"/>
      <c r="N33" s="651"/>
      <c r="O33" s="652"/>
      <c r="P33" s="651"/>
      <c r="Q33" s="651"/>
      <c r="R33" s="651">
        <v>-36</v>
      </c>
      <c r="S33" s="651"/>
      <c r="T33" s="651"/>
      <c r="U33" s="651"/>
      <c r="V33" s="651"/>
      <c r="W33" s="651"/>
      <c r="X33" s="649">
        <f t="shared" si="2"/>
        <v>0</v>
      </c>
      <c r="Y33" s="650"/>
      <c r="Z33" s="651"/>
      <c r="AA33" s="651"/>
      <c r="AB33" s="652"/>
      <c r="AC33" s="651"/>
      <c r="AD33" s="652"/>
      <c r="AE33" s="652"/>
      <c r="AF33" s="652"/>
      <c r="AG33" s="652"/>
      <c r="AH33" s="652"/>
      <c r="AI33" s="652"/>
      <c r="AJ33" s="653">
        <f t="shared" si="1"/>
        <v>0</v>
      </c>
    </row>
    <row r="34" spans="1:36" s="643" customFormat="1" x14ac:dyDescent="0.2">
      <c r="A34" s="646">
        <v>30</v>
      </c>
      <c r="B34" s="688" t="s">
        <v>1012</v>
      </c>
      <c r="C34" s="654" t="s">
        <v>1014</v>
      </c>
      <c r="D34" s="647"/>
      <c r="E34" s="651"/>
      <c r="F34" s="651">
        <v>235</v>
      </c>
      <c r="G34" s="651"/>
      <c r="H34" s="651"/>
      <c r="I34" s="651"/>
      <c r="J34" s="651"/>
      <c r="K34" s="648"/>
      <c r="L34" s="651"/>
      <c r="M34" s="652"/>
      <c r="N34" s="651"/>
      <c r="O34" s="652"/>
      <c r="P34" s="651">
        <v>-235</v>
      </c>
      <c r="Q34" s="651"/>
      <c r="R34" s="651"/>
      <c r="S34" s="651"/>
      <c r="T34" s="651"/>
      <c r="U34" s="651"/>
      <c r="V34" s="651"/>
      <c r="W34" s="651"/>
      <c r="X34" s="649">
        <f t="shared" si="2"/>
        <v>0</v>
      </c>
      <c r="Y34" s="650"/>
      <c r="Z34" s="651"/>
      <c r="AA34" s="651"/>
      <c r="AB34" s="652"/>
      <c r="AC34" s="651"/>
      <c r="AD34" s="652"/>
      <c r="AE34" s="652"/>
      <c r="AF34" s="652"/>
      <c r="AG34" s="652"/>
      <c r="AH34" s="652"/>
      <c r="AI34" s="652"/>
      <c r="AJ34" s="653">
        <f t="shared" si="1"/>
        <v>0</v>
      </c>
    </row>
    <row r="35" spans="1:36" s="643" customFormat="1" x14ac:dyDescent="0.2">
      <c r="A35" s="646">
        <v>31</v>
      </c>
      <c r="B35" s="688" t="s">
        <v>1015</v>
      </c>
      <c r="C35" s="654" t="s">
        <v>1016</v>
      </c>
      <c r="D35" s="647"/>
      <c r="E35" s="651"/>
      <c r="F35" s="651">
        <v>100</v>
      </c>
      <c r="G35" s="651"/>
      <c r="H35" s="651"/>
      <c r="I35" s="651"/>
      <c r="J35" s="651"/>
      <c r="K35" s="648"/>
      <c r="L35" s="651"/>
      <c r="M35" s="652"/>
      <c r="N35" s="651"/>
      <c r="O35" s="652"/>
      <c r="P35" s="651"/>
      <c r="Q35" s="651"/>
      <c r="R35" s="651">
        <v>-100</v>
      </c>
      <c r="S35" s="651"/>
      <c r="T35" s="651"/>
      <c r="U35" s="651"/>
      <c r="V35" s="651"/>
      <c r="W35" s="651"/>
      <c r="X35" s="649">
        <f t="shared" si="2"/>
        <v>0</v>
      </c>
      <c r="Y35" s="650"/>
      <c r="Z35" s="651"/>
      <c r="AA35" s="651"/>
      <c r="AB35" s="652"/>
      <c r="AC35" s="651"/>
      <c r="AD35" s="652"/>
      <c r="AE35" s="652"/>
      <c r="AF35" s="652"/>
      <c r="AG35" s="652"/>
      <c r="AH35" s="652"/>
      <c r="AI35" s="652"/>
      <c r="AJ35" s="653">
        <f t="shared" si="1"/>
        <v>0</v>
      </c>
    </row>
    <row r="36" spans="1:36" s="643" customFormat="1" x14ac:dyDescent="0.2">
      <c r="A36" s="646">
        <v>32</v>
      </c>
      <c r="B36" s="688" t="s">
        <v>1017</v>
      </c>
      <c r="C36" s="654" t="s">
        <v>1018</v>
      </c>
      <c r="D36" s="647"/>
      <c r="E36" s="651"/>
      <c r="F36" s="651"/>
      <c r="G36" s="651"/>
      <c r="H36" s="651"/>
      <c r="I36" s="651">
        <v>500</v>
      </c>
      <c r="J36" s="651"/>
      <c r="K36" s="648"/>
      <c r="L36" s="651"/>
      <c r="M36" s="652"/>
      <c r="N36" s="651"/>
      <c r="O36" s="652"/>
      <c r="P36" s="651">
        <v>-500</v>
      </c>
      <c r="Q36" s="651"/>
      <c r="R36" s="651"/>
      <c r="S36" s="651"/>
      <c r="T36" s="651"/>
      <c r="U36" s="651"/>
      <c r="V36" s="651"/>
      <c r="W36" s="651"/>
      <c r="X36" s="649">
        <f t="shared" si="2"/>
        <v>0</v>
      </c>
      <c r="Y36" s="650"/>
      <c r="Z36" s="651"/>
      <c r="AA36" s="651"/>
      <c r="AB36" s="652"/>
      <c r="AC36" s="651"/>
      <c r="AD36" s="652"/>
      <c r="AE36" s="652"/>
      <c r="AF36" s="652"/>
      <c r="AG36" s="652"/>
      <c r="AH36" s="652"/>
      <c r="AI36" s="652"/>
      <c r="AJ36" s="653">
        <f t="shared" si="1"/>
        <v>0</v>
      </c>
    </row>
    <row r="37" spans="1:36" s="643" customFormat="1" ht="25.5" x14ac:dyDescent="0.2">
      <c r="A37" s="646">
        <v>33</v>
      </c>
      <c r="B37" s="688" t="s">
        <v>1019</v>
      </c>
      <c r="C37" s="654" t="s">
        <v>1020</v>
      </c>
      <c r="D37" s="647"/>
      <c r="E37" s="651"/>
      <c r="F37" s="651">
        <v>27</v>
      </c>
      <c r="G37" s="651"/>
      <c r="H37" s="651"/>
      <c r="I37" s="651"/>
      <c r="J37" s="651"/>
      <c r="K37" s="648"/>
      <c r="L37" s="651"/>
      <c r="M37" s="652"/>
      <c r="N37" s="651"/>
      <c r="O37" s="652"/>
      <c r="P37" s="651"/>
      <c r="Q37" s="651"/>
      <c r="R37" s="651"/>
      <c r="S37" s="651"/>
      <c r="T37" s="651"/>
      <c r="U37" s="651"/>
      <c r="V37" s="651">
        <v>-27</v>
      </c>
      <c r="W37" s="651"/>
      <c r="X37" s="649">
        <f t="shared" si="2"/>
        <v>0</v>
      </c>
      <c r="Y37" s="650"/>
      <c r="Z37" s="651"/>
      <c r="AA37" s="651"/>
      <c r="AB37" s="652"/>
      <c r="AC37" s="651"/>
      <c r="AD37" s="652"/>
      <c r="AE37" s="652"/>
      <c r="AF37" s="652"/>
      <c r="AG37" s="652"/>
      <c r="AH37" s="652"/>
      <c r="AI37" s="652"/>
      <c r="AJ37" s="653">
        <f t="shared" si="1"/>
        <v>0</v>
      </c>
    </row>
    <row r="38" spans="1:36" s="643" customFormat="1" x14ac:dyDescent="0.2">
      <c r="A38" s="646">
        <v>34</v>
      </c>
      <c r="B38" s="688" t="s">
        <v>1021</v>
      </c>
      <c r="C38" s="654" t="s">
        <v>1022</v>
      </c>
      <c r="D38" s="647"/>
      <c r="E38" s="651"/>
      <c r="F38" s="651">
        <v>25</v>
      </c>
      <c r="G38" s="651"/>
      <c r="H38" s="651"/>
      <c r="I38" s="651"/>
      <c r="J38" s="651"/>
      <c r="K38" s="648"/>
      <c r="L38" s="651"/>
      <c r="M38" s="652"/>
      <c r="N38" s="651"/>
      <c r="O38" s="652"/>
      <c r="P38" s="651"/>
      <c r="Q38" s="651"/>
      <c r="R38" s="651"/>
      <c r="S38" s="651"/>
      <c r="T38" s="651"/>
      <c r="U38" s="651"/>
      <c r="V38" s="651">
        <v>-25</v>
      </c>
      <c r="W38" s="651"/>
      <c r="X38" s="649">
        <f t="shared" si="2"/>
        <v>0</v>
      </c>
      <c r="Y38" s="650"/>
      <c r="Z38" s="651"/>
      <c r="AA38" s="651"/>
      <c r="AB38" s="652"/>
      <c r="AC38" s="651"/>
      <c r="AD38" s="652"/>
      <c r="AE38" s="652"/>
      <c r="AF38" s="652"/>
      <c r="AG38" s="652"/>
      <c r="AH38" s="652"/>
      <c r="AI38" s="652"/>
      <c r="AJ38" s="653">
        <f t="shared" si="1"/>
        <v>0</v>
      </c>
    </row>
    <row r="39" spans="1:36" s="643" customFormat="1" ht="25.5" x14ac:dyDescent="0.2">
      <c r="A39" s="646">
        <v>35</v>
      </c>
      <c r="B39" s="688" t="s">
        <v>1023</v>
      </c>
      <c r="C39" s="654" t="s">
        <v>1024</v>
      </c>
      <c r="D39" s="647"/>
      <c r="E39" s="651"/>
      <c r="F39" s="651">
        <v>10</v>
      </c>
      <c r="G39" s="651"/>
      <c r="H39" s="651"/>
      <c r="I39" s="651"/>
      <c r="J39" s="651"/>
      <c r="K39" s="648"/>
      <c r="L39" s="651"/>
      <c r="M39" s="652"/>
      <c r="N39" s="651"/>
      <c r="O39" s="652"/>
      <c r="P39" s="651"/>
      <c r="Q39" s="651"/>
      <c r="R39" s="651"/>
      <c r="S39" s="651"/>
      <c r="T39" s="651"/>
      <c r="U39" s="651"/>
      <c r="V39" s="651">
        <v>-10</v>
      </c>
      <c r="W39" s="651"/>
      <c r="X39" s="649">
        <f t="shared" si="2"/>
        <v>0</v>
      </c>
      <c r="Y39" s="650"/>
      <c r="Z39" s="651"/>
      <c r="AA39" s="651"/>
      <c r="AB39" s="652"/>
      <c r="AC39" s="651"/>
      <c r="AD39" s="652"/>
      <c r="AE39" s="652"/>
      <c r="AF39" s="652"/>
      <c r="AG39" s="652"/>
      <c r="AH39" s="652"/>
      <c r="AI39" s="652"/>
      <c r="AJ39" s="653">
        <f t="shared" si="1"/>
        <v>0</v>
      </c>
    </row>
    <row r="40" spans="1:36" s="643" customFormat="1" ht="25.5" x14ac:dyDescent="0.2">
      <c r="A40" s="646">
        <v>36</v>
      </c>
      <c r="B40" s="688" t="s">
        <v>1025</v>
      </c>
      <c r="C40" s="654" t="s">
        <v>1026</v>
      </c>
      <c r="D40" s="647"/>
      <c r="E40" s="651"/>
      <c r="F40" s="651">
        <v>14</v>
      </c>
      <c r="G40" s="651"/>
      <c r="H40" s="651"/>
      <c r="I40" s="651"/>
      <c r="J40" s="651"/>
      <c r="K40" s="648"/>
      <c r="L40" s="651"/>
      <c r="M40" s="652"/>
      <c r="N40" s="651"/>
      <c r="O40" s="652"/>
      <c r="P40" s="651"/>
      <c r="Q40" s="651"/>
      <c r="R40" s="651"/>
      <c r="S40" s="651"/>
      <c r="T40" s="651"/>
      <c r="U40" s="651"/>
      <c r="V40" s="651">
        <v>-14</v>
      </c>
      <c r="W40" s="651"/>
      <c r="X40" s="649">
        <f t="shared" si="2"/>
        <v>0</v>
      </c>
      <c r="Y40" s="650"/>
      <c r="Z40" s="651"/>
      <c r="AA40" s="651"/>
      <c r="AB40" s="652"/>
      <c r="AC40" s="651"/>
      <c r="AD40" s="652"/>
      <c r="AE40" s="652"/>
      <c r="AF40" s="652"/>
      <c r="AG40" s="652"/>
      <c r="AH40" s="652"/>
      <c r="AI40" s="652"/>
      <c r="AJ40" s="653">
        <f t="shared" si="1"/>
        <v>0</v>
      </c>
    </row>
    <row r="41" spans="1:36" s="643" customFormat="1" ht="25.5" x14ac:dyDescent="0.2">
      <c r="A41" s="646">
        <v>37</v>
      </c>
      <c r="B41" s="688" t="s">
        <v>1027</v>
      </c>
      <c r="C41" s="654" t="s">
        <v>1028</v>
      </c>
      <c r="D41" s="647"/>
      <c r="E41" s="651"/>
      <c r="F41" s="651"/>
      <c r="G41" s="651"/>
      <c r="H41" s="651"/>
      <c r="I41" s="651"/>
      <c r="J41" s="651">
        <v>284</v>
      </c>
      <c r="K41" s="648"/>
      <c r="L41" s="651"/>
      <c r="M41" s="652"/>
      <c r="N41" s="651"/>
      <c r="O41" s="652"/>
      <c r="P41" s="651"/>
      <c r="Q41" s="651"/>
      <c r="R41" s="651"/>
      <c r="S41" s="651"/>
      <c r="T41" s="651"/>
      <c r="U41" s="651"/>
      <c r="V41" s="651">
        <v>-284</v>
      </c>
      <c r="W41" s="651"/>
      <c r="X41" s="649">
        <f t="shared" si="2"/>
        <v>0</v>
      </c>
      <c r="Y41" s="650"/>
      <c r="Z41" s="651"/>
      <c r="AA41" s="651"/>
      <c r="AB41" s="652"/>
      <c r="AC41" s="651"/>
      <c r="AD41" s="652"/>
      <c r="AE41" s="652"/>
      <c r="AF41" s="652"/>
      <c r="AG41" s="652"/>
      <c r="AH41" s="652"/>
      <c r="AI41" s="652"/>
      <c r="AJ41" s="653">
        <f t="shared" si="1"/>
        <v>0</v>
      </c>
    </row>
    <row r="42" spans="1:36" s="643" customFormat="1" x14ac:dyDescent="0.2">
      <c r="A42" s="646">
        <v>38</v>
      </c>
      <c r="B42" s="688" t="s">
        <v>1030</v>
      </c>
      <c r="C42" s="654" t="s">
        <v>1031</v>
      </c>
      <c r="D42" s="647"/>
      <c r="E42" s="651"/>
      <c r="F42" s="651"/>
      <c r="G42" s="651"/>
      <c r="H42" s="651"/>
      <c r="I42" s="651"/>
      <c r="J42" s="651">
        <v>1100</v>
      </c>
      <c r="K42" s="648"/>
      <c r="L42" s="651"/>
      <c r="M42" s="652"/>
      <c r="N42" s="651"/>
      <c r="O42" s="652"/>
      <c r="P42" s="651">
        <v>-1100</v>
      </c>
      <c r="Q42" s="651"/>
      <c r="R42" s="651"/>
      <c r="S42" s="651"/>
      <c r="T42" s="651"/>
      <c r="U42" s="651"/>
      <c r="V42" s="651"/>
      <c r="W42" s="651"/>
      <c r="X42" s="649">
        <f t="shared" si="2"/>
        <v>0</v>
      </c>
      <c r="Y42" s="650"/>
      <c r="Z42" s="651"/>
      <c r="AA42" s="651"/>
      <c r="AB42" s="652"/>
      <c r="AC42" s="651"/>
      <c r="AD42" s="652"/>
      <c r="AE42" s="652"/>
      <c r="AF42" s="652"/>
      <c r="AG42" s="652"/>
      <c r="AH42" s="652"/>
      <c r="AI42" s="652"/>
      <c r="AJ42" s="653">
        <f t="shared" si="1"/>
        <v>0</v>
      </c>
    </row>
    <row r="43" spans="1:36" s="643" customFormat="1" ht="25.5" x14ac:dyDescent="0.2">
      <c r="A43" s="646">
        <v>39</v>
      </c>
      <c r="B43" s="688" t="s">
        <v>1033</v>
      </c>
      <c r="C43" s="974" t="s">
        <v>1034</v>
      </c>
      <c r="D43" s="647"/>
      <c r="E43" s="651"/>
      <c r="F43" s="651">
        <v>3759</v>
      </c>
      <c r="G43" s="651"/>
      <c r="H43" s="651"/>
      <c r="I43" s="651"/>
      <c r="J43" s="651"/>
      <c r="K43" s="648"/>
      <c r="L43" s="651"/>
      <c r="M43" s="652"/>
      <c r="N43" s="651"/>
      <c r="O43" s="652"/>
      <c r="P43" s="651"/>
      <c r="Q43" s="651"/>
      <c r="R43" s="651"/>
      <c r="S43" s="651"/>
      <c r="T43" s="651"/>
      <c r="U43" s="651"/>
      <c r="V43" s="651">
        <v>-3759</v>
      </c>
      <c r="W43" s="651"/>
      <c r="X43" s="649">
        <f t="shared" si="2"/>
        <v>0</v>
      </c>
      <c r="Y43" s="650"/>
      <c r="Z43" s="651"/>
      <c r="AA43" s="651"/>
      <c r="AB43" s="652"/>
      <c r="AC43" s="651"/>
      <c r="AD43" s="652"/>
      <c r="AE43" s="652"/>
      <c r="AF43" s="652"/>
      <c r="AG43" s="652"/>
      <c r="AH43" s="652"/>
      <c r="AI43" s="652"/>
      <c r="AJ43" s="653">
        <f t="shared" si="1"/>
        <v>0</v>
      </c>
    </row>
    <row r="44" spans="1:36" s="643" customFormat="1" x14ac:dyDescent="0.2">
      <c r="A44" s="646">
        <v>40</v>
      </c>
      <c r="B44" s="688" t="s">
        <v>1035</v>
      </c>
      <c r="C44" s="654" t="s">
        <v>1036</v>
      </c>
      <c r="D44" s="647"/>
      <c r="E44" s="651"/>
      <c r="F44" s="651"/>
      <c r="G44" s="651"/>
      <c r="H44" s="651"/>
      <c r="I44" s="651"/>
      <c r="J44" s="651">
        <v>768</v>
      </c>
      <c r="K44" s="648"/>
      <c r="L44" s="651"/>
      <c r="M44" s="652"/>
      <c r="N44" s="651"/>
      <c r="O44" s="652"/>
      <c r="P44" s="651"/>
      <c r="Q44" s="651"/>
      <c r="R44" s="651"/>
      <c r="S44" s="651"/>
      <c r="T44" s="651"/>
      <c r="U44" s="651"/>
      <c r="V44" s="651">
        <v>-768</v>
      </c>
      <c r="W44" s="651"/>
      <c r="X44" s="649">
        <f>SUM(D44:W44)</f>
        <v>0</v>
      </c>
      <c r="Y44" s="650"/>
      <c r="Z44" s="651"/>
      <c r="AA44" s="651"/>
      <c r="AB44" s="652"/>
      <c r="AC44" s="651"/>
      <c r="AD44" s="652"/>
      <c r="AE44" s="652"/>
      <c r="AF44" s="652"/>
      <c r="AG44" s="652"/>
      <c r="AH44" s="652"/>
      <c r="AI44" s="652"/>
      <c r="AJ44" s="653">
        <f t="shared" si="1"/>
        <v>0</v>
      </c>
    </row>
    <row r="45" spans="1:36" s="643" customFormat="1" x14ac:dyDescent="0.2">
      <c r="A45" s="646">
        <v>41</v>
      </c>
      <c r="B45" s="688" t="s">
        <v>1038</v>
      </c>
      <c r="C45" s="654" t="s">
        <v>1039</v>
      </c>
      <c r="D45" s="647"/>
      <c r="E45" s="651"/>
      <c r="F45" s="651"/>
      <c r="G45" s="651"/>
      <c r="H45" s="651"/>
      <c r="I45" s="651"/>
      <c r="J45" s="651">
        <v>36</v>
      </c>
      <c r="K45" s="648"/>
      <c r="L45" s="651"/>
      <c r="M45" s="652"/>
      <c r="N45" s="651"/>
      <c r="O45" s="652"/>
      <c r="P45" s="651"/>
      <c r="Q45" s="651"/>
      <c r="R45" s="651"/>
      <c r="S45" s="651"/>
      <c r="T45" s="651"/>
      <c r="U45" s="651"/>
      <c r="V45" s="651">
        <v>-36</v>
      </c>
      <c r="W45" s="651"/>
      <c r="X45" s="649">
        <f t="shared" ref="X45:X60" si="3">SUM(D45:W45)</f>
        <v>0</v>
      </c>
      <c r="Y45" s="650"/>
      <c r="Z45" s="651"/>
      <c r="AA45" s="651"/>
      <c r="AB45" s="652"/>
      <c r="AC45" s="651"/>
      <c r="AD45" s="652"/>
      <c r="AE45" s="652"/>
      <c r="AF45" s="652"/>
      <c r="AG45" s="652"/>
      <c r="AH45" s="652"/>
      <c r="AI45" s="652"/>
      <c r="AJ45" s="653">
        <f t="shared" si="1"/>
        <v>0</v>
      </c>
    </row>
    <row r="46" spans="1:36" s="643" customFormat="1" ht="25.5" x14ac:dyDescent="0.2">
      <c r="A46" s="646">
        <v>42</v>
      </c>
      <c r="B46" s="688" t="s">
        <v>1041</v>
      </c>
      <c r="C46" s="654" t="s">
        <v>1042</v>
      </c>
      <c r="D46" s="647"/>
      <c r="E46" s="651"/>
      <c r="F46" s="651"/>
      <c r="G46" s="651"/>
      <c r="H46" s="651"/>
      <c r="I46" s="651"/>
      <c r="J46" s="651">
        <v>2921</v>
      </c>
      <c r="K46" s="648"/>
      <c r="L46" s="651"/>
      <c r="M46" s="652"/>
      <c r="N46" s="651"/>
      <c r="O46" s="652"/>
      <c r="P46" s="651"/>
      <c r="Q46" s="651"/>
      <c r="R46" s="651"/>
      <c r="S46" s="651"/>
      <c r="T46" s="651"/>
      <c r="U46" s="651"/>
      <c r="V46" s="651">
        <v>-2921</v>
      </c>
      <c r="W46" s="651"/>
      <c r="X46" s="649">
        <f t="shared" si="3"/>
        <v>0</v>
      </c>
      <c r="Y46" s="650"/>
      <c r="Z46" s="651"/>
      <c r="AA46" s="651"/>
      <c r="AB46" s="652"/>
      <c r="AC46" s="651"/>
      <c r="AD46" s="652"/>
      <c r="AE46" s="652"/>
      <c r="AF46" s="652"/>
      <c r="AG46" s="652"/>
      <c r="AH46" s="652"/>
      <c r="AI46" s="652"/>
      <c r="AJ46" s="653">
        <f t="shared" si="1"/>
        <v>0</v>
      </c>
    </row>
    <row r="47" spans="1:36" s="643" customFormat="1" x14ac:dyDescent="0.2">
      <c r="A47" s="646">
        <v>43</v>
      </c>
      <c r="B47" s="688" t="s">
        <v>1043</v>
      </c>
      <c r="C47" s="654" t="s">
        <v>1044</v>
      </c>
      <c r="D47" s="647"/>
      <c r="E47" s="651"/>
      <c r="F47" s="651"/>
      <c r="G47" s="651"/>
      <c r="H47" s="651"/>
      <c r="I47" s="651"/>
      <c r="J47" s="651">
        <v>1068</v>
      </c>
      <c r="K47" s="648"/>
      <c r="L47" s="651"/>
      <c r="M47" s="652"/>
      <c r="N47" s="651"/>
      <c r="O47" s="652"/>
      <c r="P47" s="651"/>
      <c r="Q47" s="651"/>
      <c r="R47" s="651"/>
      <c r="S47" s="651"/>
      <c r="T47" s="651"/>
      <c r="U47" s="651"/>
      <c r="V47" s="651">
        <v>-1068</v>
      </c>
      <c r="W47" s="651"/>
      <c r="X47" s="649">
        <f t="shared" si="3"/>
        <v>0</v>
      </c>
      <c r="Y47" s="650"/>
      <c r="Z47" s="651"/>
      <c r="AA47" s="651"/>
      <c r="AB47" s="652"/>
      <c r="AC47" s="651"/>
      <c r="AD47" s="652"/>
      <c r="AE47" s="652"/>
      <c r="AF47" s="652"/>
      <c r="AG47" s="652"/>
      <c r="AH47" s="652"/>
      <c r="AI47" s="652"/>
      <c r="AJ47" s="653">
        <f t="shared" si="1"/>
        <v>0</v>
      </c>
    </row>
    <row r="48" spans="1:36" s="643" customFormat="1" x14ac:dyDescent="0.2">
      <c r="A48" s="646">
        <v>44</v>
      </c>
      <c r="B48" s="688" t="s">
        <v>1046</v>
      </c>
      <c r="C48" s="654" t="s">
        <v>1048</v>
      </c>
      <c r="D48" s="647"/>
      <c r="E48" s="651"/>
      <c r="F48" s="651">
        <f>5000+4991+2000</f>
        <v>11991</v>
      </c>
      <c r="G48" s="651"/>
      <c r="H48" s="651"/>
      <c r="I48" s="651"/>
      <c r="J48" s="651"/>
      <c r="K48" s="648"/>
      <c r="L48" s="651"/>
      <c r="M48" s="652"/>
      <c r="N48" s="651"/>
      <c r="O48" s="652"/>
      <c r="P48" s="651">
        <f>-2000-1991</f>
        <v>-3991</v>
      </c>
      <c r="Q48" s="651"/>
      <c r="R48" s="651"/>
      <c r="S48" s="651"/>
      <c r="T48" s="651"/>
      <c r="U48" s="651"/>
      <c r="V48" s="651"/>
      <c r="W48" s="651"/>
      <c r="X48" s="649">
        <f t="shared" si="3"/>
        <v>8000</v>
      </c>
      <c r="Y48" s="650"/>
      <c r="Z48" s="651"/>
      <c r="AA48" s="651"/>
      <c r="AB48" s="651">
        <v>8000</v>
      </c>
      <c r="AC48" s="651"/>
      <c r="AD48" s="652"/>
      <c r="AE48" s="652"/>
      <c r="AF48" s="652"/>
      <c r="AG48" s="652"/>
      <c r="AH48" s="652"/>
      <c r="AI48" s="652"/>
      <c r="AJ48" s="653">
        <f t="shared" si="1"/>
        <v>8000</v>
      </c>
    </row>
    <row r="49" spans="1:36" s="643" customFormat="1" x14ac:dyDescent="0.2">
      <c r="A49" s="646">
        <v>45</v>
      </c>
      <c r="B49" s="688" t="s">
        <v>1049</v>
      </c>
      <c r="C49" s="654" t="s">
        <v>1050</v>
      </c>
      <c r="D49" s="647"/>
      <c r="E49" s="651"/>
      <c r="F49" s="651">
        <f>9606+2594</f>
        <v>12200</v>
      </c>
      <c r="G49" s="651"/>
      <c r="H49" s="651"/>
      <c r="I49" s="651"/>
      <c r="J49" s="651"/>
      <c r="K49" s="648"/>
      <c r="L49" s="651"/>
      <c r="M49" s="652"/>
      <c r="N49" s="651"/>
      <c r="O49" s="652"/>
      <c r="P49" s="651">
        <v>-3000</v>
      </c>
      <c r="Q49" s="651"/>
      <c r="R49" s="651"/>
      <c r="S49" s="651"/>
      <c r="T49" s="651"/>
      <c r="U49" s="651">
        <v>-9200</v>
      </c>
      <c r="V49" s="651"/>
      <c r="W49" s="651"/>
      <c r="X49" s="649">
        <f t="shared" si="3"/>
        <v>0</v>
      </c>
      <c r="Y49" s="650"/>
      <c r="Z49" s="651"/>
      <c r="AA49" s="651"/>
      <c r="AB49" s="651"/>
      <c r="AC49" s="651"/>
      <c r="AD49" s="652"/>
      <c r="AE49" s="652"/>
      <c r="AF49" s="652"/>
      <c r="AG49" s="652"/>
      <c r="AH49" s="652"/>
      <c r="AI49" s="652"/>
      <c r="AJ49" s="653">
        <f t="shared" si="1"/>
        <v>0</v>
      </c>
    </row>
    <row r="50" spans="1:36" s="643" customFormat="1" ht="25.5" x14ac:dyDescent="0.2">
      <c r="A50" s="646">
        <v>46</v>
      </c>
      <c r="B50" s="688" t="s">
        <v>1051</v>
      </c>
      <c r="C50" s="654" t="s">
        <v>1052</v>
      </c>
      <c r="D50" s="647"/>
      <c r="E50" s="651"/>
      <c r="F50" s="651"/>
      <c r="G50" s="651"/>
      <c r="H50" s="651"/>
      <c r="I50" s="651"/>
      <c r="J50" s="651"/>
      <c r="K50" s="648"/>
      <c r="L50" s="651"/>
      <c r="M50" s="652"/>
      <c r="N50" s="651">
        <v>426</v>
      </c>
      <c r="O50" s="652"/>
      <c r="P50" s="651">
        <v>-426</v>
      </c>
      <c r="Q50" s="651"/>
      <c r="R50" s="651"/>
      <c r="S50" s="651"/>
      <c r="T50" s="651"/>
      <c r="U50" s="651"/>
      <c r="V50" s="651"/>
      <c r="W50" s="651"/>
      <c r="X50" s="649">
        <f t="shared" si="3"/>
        <v>0</v>
      </c>
      <c r="Y50" s="650"/>
      <c r="Z50" s="651"/>
      <c r="AA50" s="651"/>
      <c r="AB50" s="652"/>
      <c r="AC50" s="651"/>
      <c r="AD50" s="652"/>
      <c r="AE50" s="652"/>
      <c r="AF50" s="652"/>
      <c r="AG50" s="652"/>
      <c r="AH50" s="652"/>
      <c r="AI50" s="652"/>
      <c r="AJ50" s="653">
        <f t="shared" si="1"/>
        <v>0</v>
      </c>
    </row>
    <row r="51" spans="1:36" s="643" customFormat="1" ht="25.5" x14ac:dyDescent="0.2">
      <c r="A51" s="646">
        <v>47</v>
      </c>
      <c r="B51" s="688" t="s">
        <v>1053</v>
      </c>
      <c r="C51" s="697" t="s">
        <v>1054</v>
      </c>
      <c r="D51" s="647"/>
      <c r="E51" s="651"/>
      <c r="F51" s="651"/>
      <c r="G51" s="651"/>
      <c r="H51" s="651"/>
      <c r="I51" s="651"/>
      <c r="J51" s="651">
        <v>503</v>
      </c>
      <c r="K51" s="648"/>
      <c r="L51" s="651"/>
      <c r="M51" s="652"/>
      <c r="N51" s="651"/>
      <c r="O51" s="652"/>
      <c r="P51" s="651"/>
      <c r="Q51" s="651"/>
      <c r="R51" s="651"/>
      <c r="S51" s="651"/>
      <c r="T51" s="651"/>
      <c r="U51" s="651"/>
      <c r="V51" s="651">
        <v>-503</v>
      </c>
      <c r="W51" s="651"/>
      <c r="X51" s="649">
        <f t="shared" si="3"/>
        <v>0</v>
      </c>
      <c r="Y51" s="650"/>
      <c r="Z51" s="651"/>
      <c r="AA51" s="651"/>
      <c r="AB51" s="652"/>
      <c r="AC51" s="651"/>
      <c r="AD51" s="652"/>
      <c r="AE51" s="652"/>
      <c r="AF51" s="652"/>
      <c r="AG51" s="652"/>
      <c r="AH51" s="652"/>
      <c r="AI51" s="652"/>
      <c r="AJ51" s="653">
        <f t="shared" si="1"/>
        <v>0</v>
      </c>
    </row>
    <row r="52" spans="1:36" s="643" customFormat="1" x14ac:dyDescent="0.2">
      <c r="A52" s="646">
        <v>48</v>
      </c>
      <c r="B52" s="688" t="s">
        <v>1055</v>
      </c>
      <c r="C52" s="654" t="s">
        <v>1056</v>
      </c>
      <c r="D52" s="647">
        <v>826</v>
      </c>
      <c r="E52" s="651"/>
      <c r="F52" s="651"/>
      <c r="G52" s="651"/>
      <c r="H52" s="651"/>
      <c r="I52" s="651"/>
      <c r="J52" s="651"/>
      <c r="K52" s="648"/>
      <c r="L52" s="651"/>
      <c r="M52" s="652"/>
      <c r="N52" s="651"/>
      <c r="O52" s="652"/>
      <c r="P52" s="651">
        <v>-826</v>
      </c>
      <c r="Q52" s="651"/>
      <c r="R52" s="651"/>
      <c r="S52" s="651"/>
      <c r="T52" s="651"/>
      <c r="U52" s="651"/>
      <c r="V52" s="651"/>
      <c r="W52" s="651"/>
      <c r="X52" s="649">
        <f t="shared" si="3"/>
        <v>0</v>
      </c>
      <c r="Y52" s="650"/>
      <c r="Z52" s="651"/>
      <c r="AA52" s="651"/>
      <c r="AB52" s="652"/>
      <c r="AC52" s="651"/>
      <c r="AD52" s="652"/>
      <c r="AE52" s="652"/>
      <c r="AF52" s="652"/>
      <c r="AG52" s="652"/>
      <c r="AH52" s="652"/>
      <c r="AI52" s="652"/>
      <c r="AJ52" s="653">
        <f t="shared" si="1"/>
        <v>0</v>
      </c>
    </row>
    <row r="53" spans="1:36" s="643" customFormat="1" x14ac:dyDescent="0.2">
      <c r="A53" s="646">
        <v>49</v>
      </c>
      <c r="B53" s="688" t="s">
        <v>1057</v>
      </c>
      <c r="C53" s="654" t="s">
        <v>1058</v>
      </c>
      <c r="D53" s="647"/>
      <c r="E53" s="651"/>
      <c r="F53" s="651"/>
      <c r="G53" s="651"/>
      <c r="H53" s="651">
        <v>-1460</v>
      </c>
      <c r="I53" s="651"/>
      <c r="J53" s="651"/>
      <c r="K53" s="648"/>
      <c r="L53" s="651"/>
      <c r="M53" s="652"/>
      <c r="N53" s="651"/>
      <c r="O53" s="652"/>
      <c r="P53" s="651">
        <v>2287</v>
      </c>
      <c r="Q53" s="651">
        <v>2952</v>
      </c>
      <c r="R53" s="651"/>
      <c r="S53" s="651"/>
      <c r="T53" s="651"/>
      <c r="U53" s="651"/>
      <c r="V53" s="651"/>
      <c r="W53" s="651"/>
      <c r="X53" s="649">
        <f t="shared" si="3"/>
        <v>3779</v>
      </c>
      <c r="Y53" s="650"/>
      <c r="Z53" s="651"/>
      <c r="AA53" s="651">
        <f>2287+2952-1460</f>
        <v>3779</v>
      </c>
      <c r="AB53" s="651"/>
      <c r="AC53" s="652"/>
      <c r="AD53" s="652"/>
      <c r="AE53" s="652"/>
      <c r="AF53" s="652"/>
      <c r="AG53" s="652"/>
      <c r="AH53" s="652"/>
      <c r="AI53" s="652"/>
      <c r="AJ53" s="653">
        <f t="shared" si="1"/>
        <v>3779</v>
      </c>
    </row>
    <row r="54" spans="1:36" x14ac:dyDescent="0.2">
      <c r="A54" s="975">
        <v>50</v>
      </c>
      <c r="B54" s="976" t="s">
        <v>1059</v>
      </c>
      <c r="C54" s="977" t="s">
        <v>1060</v>
      </c>
      <c r="D54" s="978"/>
      <c r="E54" s="978"/>
      <c r="F54" s="979"/>
      <c r="G54" s="978"/>
      <c r="H54" s="978">
        <v>229</v>
      </c>
      <c r="I54" s="978"/>
      <c r="J54" s="978"/>
      <c r="K54" s="980"/>
      <c r="L54" s="978"/>
      <c r="M54" s="978"/>
      <c r="N54" s="978"/>
      <c r="O54" s="978"/>
      <c r="P54" s="979">
        <v>-229</v>
      </c>
      <c r="Q54" s="979"/>
      <c r="R54" s="979"/>
      <c r="S54" s="979"/>
      <c r="T54" s="978"/>
      <c r="U54" s="978"/>
      <c r="V54" s="978"/>
      <c r="W54" s="978"/>
      <c r="X54" s="649">
        <f t="shared" si="3"/>
        <v>0</v>
      </c>
      <c r="Y54" s="979"/>
      <c r="Z54" s="978"/>
      <c r="AA54" s="978"/>
      <c r="AB54" s="978"/>
      <c r="AC54" s="978"/>
      <c r="AD54" s="978"/>
      <c r="AE54" s="978"/>
      <c r="AF54" s="978"/>
      <c r="AG54" s="978"/>
      <c r="AH54" s="978"/>
      <c r="AI54" s="978"/>
      <c r="AJ54" s="653"/>
    </row>
    <row r="55" spans="1:36" x14ac:dyDescent="0.2">
      <c r="A55" s="975">
        <v>51</v>
      </c>
      <c r="B55" s="976" t="s">
        <v>1061</v>
      </c>
      <c r="C55" s="977" t="s">
        <v>1062</v>
      </c>
      <c r="D55" s="978"/>
      <c r="E55" s="978"/>
      <c r="F55" s="979">
        <v>178</v>
      </c>
      <c r="G55" s="978"/>
      <c r="H55" s="978"/>
      <c r="I55" s="978"/>
      <c r="J55" s="978"/>
      <c r="K55" s="980"/>
      <c r="L55" s="978"/>
      <c r="M55" s="978"/>
      <c r="N55" s="978"/>
      <c r="O55" s="978"/>
      <c r="P55" s="979"/>
      <c r="Q55" s="979"/>
      <c r="R55" s="979"/>
      <c r="S55" s="979"/>
      <c r="T55" s="978"/>
      <c r="U55" s="978"/>
      <c r="V55" s="978">
        <v>-178</v>
      </c>
      <c r="W55" s="978"/>
      <c r="X55" s="649">
        <f t="shared" si="3"/>
        <v>0</v>
      </c>
      <c r="Y55" s="979"/>
      <c r="Z55" s="978"/>
      <c r="AA55" s="978"/>
      <c r="AB55" s="978"/>
      <c r="AC55" s="978"/>
      <c r="AD55" s="978"/>
      <c r="AE55" s="978"/>
      <c r="AF55" s="978"/>
      <c r="AG55" s="978"/>
      <c r="AH55" s="978"/>
      <c r="AI55" s="978"/>
      <c r="AJ55" s="653"/>
    </row>
    <row r="56" spans="1:36" x14ac:dyDescent="0.2">
      <c r="A56" s="975">
        <v>52</v>
      </c>
      <c r="B56" s="976" t="s">
        <v>1063</v>
      </c>
      <c r="C56" s="977" t="s">
        <v>1064</v>
      </c>
      <c r="D56" s="978"/>
      <c r="E56" s="978"/>
      <c r="F56" s="979">
        <v>79</v>
      </c>
      <c r="G56" s="978"/>
      <c r="H56" s="978"/>
      <c r="I56" s="978"/>
      <c r="J56" s="978"/>
      <c r="K56" s="980"/>
      <c r="L56" s="978"/>
      <c r="M56" s="978"/>
      <c r="N56" s="978"/>
      <c r="O56" s="978"/>
      <c r="P56" s="979">
        <v>-79</v>
      </c>
      <c r="Q56" s="979"/>
      <c r="R56" s="979"/>
      <c r="S56" s="979"/>
      <c r="T56" s="978"/>
      <c r="U56" s="978"/>
      <c r="V56" s="978"/>
      <c r="W56" s="978"/>
      <c r="X56" s="649">
        <f t="shared" si="3"/>
        <v>0</v>
      </c>
      <c r="Y56" s="979"/>
      <c r="Z56" s="978"/>
      <c r="AA56" s="978"/>
      <c r="AB56" s="978"/>
      <c r="AC56" s="978"/>
      <c r="AD56" s="978"/>
      <c r="AE56" s="978"/>
      <c r="AF56" s="978"/>
      <c r="AG56" s="978"/>
      <c r="AH56" s="978"/>
      <c r="AI56" s="978"/>
      <c r="AJ56" s="653"/>
    </row>
    <row r="57" spans="1:36" x14ac:dyDescent="0.2">
      <c r="A57" s="975">
        <v>53</v>
      </c>
      <c r="B57" s="976" t="s">
        <v>1065</v>
      </c>
      <c r="C57" s="977" t="s">
        <v>1066</v>
      </c>
      <c r="D57" s="978"/>
      <c r="E57" s="978"/>
      <c r="F57" s="979">
        <v>3167</v>
      </c>
      <c r="G57" s="978"/>
      <c r="H57" s="978"/>
      <c r="I57" s="978"/>
      <c r="J57" s="978"/>
      <c r="K57" s="980"/>
      <c r="L57" s="978"/>
      <c r="M57" s="978"/>
      <c r="N57" s="978"/>
      <c r="O57" s="978"/>
      <c r="P57" s="979"/>
      <c r="Q57" s="979"/>
      <c r="R57" s="979"/>
      <c r="S57" s="979"/>
      <c r="T57" s="978"/>
      <c r="U57" s="978"/>
      <c r="V57" s="978">
        <v>-3167</v>
      </c>
      <c r="W57" s="978"/>
      <c r="X57" s="649">
        <f t="shared" si="3"/>
        <v>0</v>
      </c>
      <c r="Y57" s="979"/>
      <c r="Z57" s="978"/>
      <c r="AA57" s="978"/>
      <c r="AB57" s="978"/>
      <c r="AC57" s="978"/>
      <c r="AD57" s="978"/>
      <c r="AE57" s="978"/>
      <c r="AF57" s="978"/>
      <c r="AG57" s="978"/>
      <c r="AH57" s="978"/>
      <c r="AI57" s="978"/>
      <c r="AJ57" s="653"/>
    </row>
    <row r="58" spans="1:36" x14ac:dyDescent="0.2">
      <c r="A58" s="975">
        <v>54</v>
      </c>
      <c r="B58" s="976" t="s">
        <v>1067</v>
      </c>
      <c r="C58" s="977" t="s">
        <v>1068</v>
      </c>
      <c r="D58" s="978">
        <v>66</v>
      </c>
      <c r="E58" s="978"/>
      <c r="F58" s="979"/>
      <c r="G58" s="978"/>
      <c r="H58" s="978"/>
      <c r="I58" s="978"/>
      <c r="J58" s="978"/>
      <c r="K58" s="980"/>
      <c r="L58" s="978"/>
      <c r="M58" s="978"/>
      <c r="N58" s="978"/>
      <c r="O58" s="978"/>
      <c r="P58" s="979">
        <v>-66</v>
      </c>
      <c r="Q58" s="979"/>
      <c r="R58" s="979"/>
      <c r="S58" s="979"/>
      <c r="T58" s="978"/>
      <c r="U58" s="978"/>
      <c r="V58" s="978"/>
      <c r="W58" s="978"/>
      <c r="X58" s="649">
        <f t="shared" si="3"/>
        <v>0</v>
      </c>
      <c r="Y58" s="979"/>
      <c r="Z58" s="978"/>
      <c r="AA58" s="978"/>
      <c r="AB58" s="978"/>
      <c r="AC58" s="978"/>
      <c r="AD58" s="978"/>
      <c r="AE58" s="978"/>
      <c r="AF58" s="978"/>
      <c r="AG58" s="978"/>
      <c r="AH58" s="978"/>
      <c r="AI58" s="978"/>
      <c r="AJ58" s="653"/>
    </row>
    <row r="59" spans="1:36" x14ac:dyDescent="0.2">
      <c r="A59" s="975">
        <v>55</v>
      </c>
      <c r="B59" s="976" t="s">
        <v>1069</v>
      </c>
      <c r="C59" s="977" t="s">
        <v>1070</v>
      </c>
      <c r="D59" s="978"/>
      <c r="E59" s="978"/>
      <c r="F59" s="979">
        <v>114</v>
      </c>
      <c r="G59" s="978"/>
      <c r="H59" s="978"/>
      <c r="I59" s="978"/>
      <c r="J59" s="978"/>
      <c r="K59" s="980"/>
      <c r="L59" s="978"/>
      <c r="M59" s="978"/>
      <c r="N59" s="978"/>
      <c r="O59" s="978"/>
      <c r="P59" s="979"/>
      <c r="Q59" s="979"/>
      <c r="R59" s="979"/>
      <c r="S59" s="979"/>
      <c r="T59" s="978"/>
      <c r="U59" s="978"/>
      <c r="V59" s="978">
        <v>-114</v>
      </c>
      <c r="W59" s="978"/>
      <c r="X59" s="649">
        <f t="shared" si="3"/>
        <v>0</v>
      </c>
      <c r="Y59" s="979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653"/>
    </row>
    <row r="60" spans="1:36" ht="25.5" x14ac:dyDescent="0.2">
      <c r="A60" s="975">
        <v>56</v>
      </c>
      <c r="B60" s="976" t="s">
        <v>1071</v>
      </c>
      <c r="C60" s="981" t="s">
        <v>1072</v>
      </c>
      <c r="D60" s="978"/>
      <c r="E60" s="978"/>
      <c r="F60" s="979">
        <f>63-37</f>
        <v>26</v>
      </c>
      <c r="G60" s="978"/>
      <c r="H60" s="978"/>
      <c r="I60" s="978"/>
      <c r="J60" s="978"/>
      <c r="K60" s="980"/>
      <c r="L60" s="978"/>
      <c r="M60" s="978"/>
      <c r="N60" s="978"/>
      <c r="O60" s="978"/>
      <c r="P60" s="979"/>
      <c r="Q60" s="979"/>
      <c r="R60" s="979"/>
      <c r="S60" s="979"/>
      <c r="T60" s="978"/>
      <c r="U60" s="978"/>
      <c r="V60" s="978">
        <f>-63+37</f>
        <v>-26</v>
      </c>
      <c r="W60" s="978"/>
      <c r="X60" s="649">
        <f t="shared" si="3"/>
        <v>0</v>
      </c>
      <c r="Y60" s="979"/>
      <c r="Z60" s="978"/>
      <c r="AA60" s="978"/>
      <c r="AB60" s="978"/>
      <c r="AC60" s="978"/>
      <c r="AD60" s="978"/>
      <c r="AE60" s="978"/>
      <c r="AF60" s="978"/>
      <c r="AG60" s="978"/>
      <c r="AH60" s="978"/>
      <c r="AI60" s="978"/>
      <c r="AJ60" s="653"/>
    </row>
    <row r="61" spans="1:36" x14ac:dyDescent="0.2">
      <c r="A61" s="975">
        <v>57</v>
      </c>
      <c r="B61" s="976" t="s">
        <v>1073</v>
      </c>
      <c r="C61" s="977" t="s">
        <v>1074</v>
      </c>
      <c r="D61" s="978"/>
      <c r="E61" s="978"/>
      <c r="F61" s="979">
        <v>133</v>
      </c>
      <c r="G61" s="978"/>
      <c r="H61" s="978"/>
      <c r="I61" s="978"/>
      <c r="J61" s="978"/>
      <c r="K61" s="980"/>
      <c r="L61" s="978"/>
      <c r="M61" s="978"/>
      <c r="N61" s="978"/>
      <c r="O61" s="978"/>
      <c r="P61" s="979"/>
      <c r="Q61" s="979"/>
      <c r="R61" s="979"/>
      <c r="S61" s="979">
        <v>-133</v>
      </c>
      <c r="T61" s="978"/>
      <c r="U61" s="978"/>
      <c r="V61" s="978"/>
      <c r="W61" s="978"/>
      <c r="X61" s="649"/>
      <c r="Y61" s="979"/>
      <c r="Z61" s="978"/>
      <c r="AA61" s="978"/>
      <c r="AB61" s="978"/>
      <c r="AC61" s="978"/>
      <c r="AD61" s="978"/>
      <c r="AE61" s="978"/>
      <c r="AF61" s="978"/>
      <c r="AG61" s="978"/>
      <c r="AH61" s="978"/>
      <c r="AI61" s="978"/>
      <c r="AJ61" s="653"/>
    </row>
    <row r="62" spans="1:36" x14ac:dyDescent="0.2">
      <c r="A62" s="975">
        <v>58</v>
      </c>
      <c r="B62" s="976" t="s">
        <v>1075</v>
      </c>
      <c r="C62" s="977" t="s">
        <v>1076</v>
      </c>
      <c r="D62" s="978"/>
      <c r="E62" s="978"/>
      <c r="F62" s="979"/>
      <c r="G62" s="978"/>
      <c r="H62" s="978"/>
      <c r="I62" s="978"/>
      <c r="J62" s="978">
        <v>1325</v>
      </c>
      <c r="K62" s="980"/>
      <c r="L62" s="978"/>
      <c r="M62" s="978"/>
      <c r="N62" s="978"/>
      <c r="O62" s="978"/>
      <c r="P62" s="979"/>
      <c r="Q62" s="979"/>
      <c r="R62" s="979"/>
      <c r="S62" s="979"/>
      <c r="T62" s="978"/>
      <c r="U62" s="978"/>
      <c r="V62" s="978">
        <v>-1325</v>
      </c>
      <c r="W62" s="978"/>
      <c r="X62" s="649"/>
      <c r="Y62" s="979"/>
      <c r="Z62" s="978"/>
      <c r="AA62" s="978"/>
      <c r="AB62" s="978"/>
      <c r="AC62" s="978"/>
      <c r="AD62" s="978"/>
      <c r="AE62" s="978"/>
      <c r="AF62" s="978"/>
      <c r="AG62" s="978"/>
      <c r="AH62" s="978"/>
      <c r="AI62" s="978"/>
      <c r="AJ62" s="653"/>
    </row>
    <row r="63" spans="1:36" x14ac:dyDescent="0.2">
      <c r="A63" s="975">
        <v>59</v>
      </c>
      <c r="B63" s="976" t="s">
        <v>1078</v>
      </c>
      <c r="C63" s="977" t="s">
        <v>1079</v>
      </c>
      <c r="D63" s="978"/>
      <c r="E63" s="978"/>
      <c r="F63" s="979"/>
      <c r="G63" s="978"/>
      <c r="H63" s="978"/>
      <c r="I63" s="978"/>
      <c r="J63" s="978"/>
      <c r="K63" s="980"/>
      <c r="L63" s="978">
        <v>8</v>
      </c>
      <c r="M63" s="978"/>
      <c r="N63" s="978"/>
      <c r="O63" s="978"/>
      <c r="P63" s="979"/>
      <c r="Q63" s="979"/>
      <c r="R63" s="979"/>
      <c r="S63" s="979"/>
      <c r="T63" s="978"/>
      <c r="U63" s="978"/>
      <c r="V63" s="978">
        <v>-8</v>
      </c>
      <c r="W63" s="978"/>
      <c r="X63" s="649"/>
      <c r="Y63" s="979"/>
      <c r="Z63" s="978"/>
      <c r="AA63" s="978"/>
      <c r="AB63" s="978"/>
      <c r="AC63" s="978"/>
      <c r="AD63" s="978"/>
      <c r="AE63" s="978"/>
      <c r="AF63" s="978"/>
      <c r="AG63" s="978"/>
      <c r="AH63" s="978"/>
      <c r="AI63" s="978"/>
      <c r="AJ63" s="653"/>
    </row>
    <row r="64" spans="1:36" x14ac:dyDescent="0.2">
      <c r="A64" s="975">
        <v>60</v>
      </c>
      <c r="B64" s="976" t="s">
        <v>1086</v>
      </c>
      <c r="C64" s="977" t="s">
        <v>1087</v>
      </c>
      <c r="D64" s="978"/>
      <c r="E64" s="978"/>
      <c r="F64" s="979">
        <f>-500-25</f>
        <v>-525</v>
      </c>
      <c r="G64" s="978"/>
      <c r="H64" s="978"/>
      <c r="I64" s="978"/>
      <c r="J64" s="978">
        <f>500+25</f>
        <v>525</v>
      </c>
      <c r="K64" s="980"/>
      <c r="L64" s="978"/>
      <c r="M64" s="978"/>
      <c r="N64" s="978"/>
      <c r="O64" s="978"/>
      <c r="P64" s="979"/>
      <c r="Q64" s="979"/>
      <c r="R64" s="979"/>
      <c r="S64" s="979"/>
      <c r="T64" s="978"/>
      <c r="U64" s="978"/>
      <c r="V64" s="978"/>
      <c r="W64" s="978"/>
      <c r="X64" s="649"/>
      <c r="Y64" s="979"/>
      <c r="Z64" s="978"/>
      <c r="AA64" s="978"/>
      <c r="AB64" s="978"/>
      <c r="AC64" s="978"/>
      <c r="AD64" s="978"/>
      <c r="AE64" s="978"/>
      <c r="AF64" s="978"/>
      <c r="AG64" s="978"/>
      <c r="AH64" s="978"/>
      <c r="AI64" s="978"/>
      <c r="AJ64" s="653"/>
    </row>
    <row r="65" spans="1:36" x14ac:dyDescent="0.2">
      <c r="A65" s="975">
        <v>61</v>
      </c>
      <c r="B65" s="976" t="s">
        <v>1088</v>
      </c>
      <c r="C65" s="977" t="s">
        <v>1089</v>
      </c>
      <c r="D65" s="978"/>
      <c r="E65" s="978"/>
      <c r="F65" s="979">
        <f>300+81</f>
        <v>381</v>
      </c>
      <c r="G65" s="978"/>
      <c r="H65" s="978"/>
      <c r="I65" s="978"/>
      <c r="J65" s="978"/>
      <c r="K65" s="980"/>
      <c r="L65" s="978"/>
      <c r="M65" s="978"/>
      <c r="N65" s="978"/>
      <c r="O65" s="978"/>
      <c r="P65" s="979"/>
      <c r="Q65" s="979"/>
      <c r="R65" s="979"/>
      <c r="S65" s="979"/>
      <c r="T65" s="978"/>
      <c r="U65" s="978"/>
      <c r="V65" s="978"/>
      <c r="W65" s="978"/>
      <c r="X65" s="649"/>
      <c r="Y65" s="979"/>
      <c r="Z65" s="978">
        <f>300+81</f>
        <v>381</v>
      </c>
      <c r="AA65" s="978"/>
      <c r="AB65" s="978"/>
      <c r="AC65" s="978"/>
      <c r="AD65" s="978"/>
      <c r="AE65" s="978"/>
      <c r="AF65" s="978"/>
      <c r="AG65" s="978"/>
      <c r="AH65" s="978"/>
      <c r="AI65" s="978"/>
      <c r="AJ65" s="653"/>
    </row>
    <row r="66" spans="1:36" hidden="1" x14ac:dyDescent="0.2">
      <c r="A66" s="975"/>
      <c r="B66" s="976"/>
      <c r="C66" s="977"/>
      <c r="D66" s="978"/>
      <c r="E66" s="978"/>
      <c r="F66" s="979"/>
      <c r="G66" s="978"/>
      <c r="H66" s="978"/>
      <c r="I66" s="978"/>
      <c r="J66" s="978"/>
      <c r="K66" s="980"/>
      <c r="L66" s="978"/>
      <c r="M66" s="978"/>
      <c r="N66" s="978"/>
      <c r="O66" s="978"/>
      <c r="P66" s="979"/>
      <c r="Q66" s="979"/>
      <c r="R66" s="979"/>
      <c r="S66" s="979"/>
      <c r="T66" s="978"/>
      <c r="U66" s="978"/>
      <c r="V66" s="978"/>
      <c r="W66" s="978"/>
      <c r="X66" s="649"/>
      <c r="Y66" s="979"/>
      <c r="Z66" s="978"/>
      <c r="AA66" s="978"/>
      <c r="AB66" s="978"/>
      <c r="AC66" s="978"/>
      <c r="AD66" s="978"/>
      <c r="AE66" s="978"/>
      <c r="AF66" s="978"/>
      <c r="AG66" s="978"/>
      <c r="AH66" s="978"/>
      <c r="AI66" s="978"/>
      <c r="AJ66" s="653"/>
    </row>
    <row r="67" spans="1:36" hidden="1" x14ac:dyDescent="0.2">
      <c r="A67" s="975"/>
      <c r="B67" s="976"/>
      <c r="C67" s="977"/>
      <c r="D67" s="978"/>
      <c r="E67" s="978"/>
      <c r="F67" s="979"/>
      <c r="G67" s="978"/>
      <c r="H67" s="978"/>
      <c r="I67" s="978"/>
      <c r="J67" s="978"/>
      <c r="K67" s="980"/>
      <c r="L67" s="978"/>
      <c r="M67" s="978"/>
      <c r="N67" s="978"/>
      <c r="O67" s="978"/>
      <c r="P67" s="979"/>
      <c r="Q67" s="979"/>
      <c r="R67" s="979"/>
      <c r="S67" s="979"/>
      <c r="T67" s="978"/>
      <c r="U67" s="978"/>
      <c r="V67" s="978"/>
      <c r="W67" s="978"/>
      <c r="X67" s="649"/>
      <c r="Y67" s="979"/>
      <c r="Z67" s="978"/>
      <c r="AA67" s="978"/>
      <c r="AB67" s="978"/>
      <c r="AC67" s="978"/>
      <c r="AD67" s="978"/>
      <c r="AE67" s="978"/>
      <c r="AF67" s="978"/>
      <c r="AG67" s="978"/>
      <c r="AH67" s="978"/>
      <c r="AI67" s="978"/>
      <c r="AJ67" s="653"/>
    </row>
    <row r="68" spans="1:36" hidden="1" x14ac:dyDescent="0.2">
      <c r="A68" s="975"/>
      <c r="B68" s="976"/>
      <c r="C68" s="977"/>
      <c r="D68" s="978"/>
      <c r="E68" s="978"/>
      <c r="F68" s="979"/>
      <c r="G68" s="978"/>
      <c r="H68" s="978"/>
      <c r="I68" s="978"/>
      <c r="J68" s="978"/>
      <c r="K68" s="980"/>
      <c r="L68" s="978"/>
      <c r="M68" s="978"/>
      <c r="N68" s="978"/>
      <c r="O68" s="978"/>
      <c r="P68" s="979"/>
      <c r="Q68" s="979"/>
      <c r="R68" s="979"/>
      <c r="S68" s="979"/>
      <c r="T68" s="978"/>
      <c r="U68" s="978"/>
      <c r="V68" s="978"/>
      <c r="W68" s="978"/>
      <c r="X68" s="649"/>
      <c r="Y68" s="979"/>
      <c r="Z68" s="978"/>
      <c r="AA68" s="978"/>
      <c r="AB68" s="978"/>
      <c r="AC68" s="978"/>
      <c r="AD68" s="978"/>
      <c r="AE68" s="978"/>
      <c r="AF68" s="978"/>
      <c r="AG68" s="978"/>
      <c r="AH68" s="978"/>
      <c r="AI68" s="978"/>
      <c r="AJ68" s="653"/>
    </row>
    <row r="69" spans="1:36" hidden="1" x14ac:dyDescent="0.2">
      <c r="A69" s="975"/>
      <c r="B69" s="976"/>
      <c r="C69" s="977"/>
      <c r="D69" s="978"/>
      <c r="E69" s="978"/>
      <c r="F69" s="979"/>
      <c r="G69" s="978"/>
      <c r="H69" s="978"/>
      <c r="I69" s="978"/>
      <c r="J69" s="978"/>
      <c r="K69" s="980"/>
      <c r="L69" s="978"/>
      <c r="M69" s="978"/>
      <c r="N69" s="978"/>
      <c r="O69" s="978"/>
      <c r="P69" s="979"/>
      <c r="Q69" s="979"/>
      <c r="R69" s="979"/>
      <c r="S69" s="979"/>
      <c r="T69" s="978"/>
      <c r="U69" s="978"/>
      <c r="V69" s="978"/>
      <c r="W69" s="978"/>
      <c r="X69" s="649"/>
      <c r="Y69" s="979"/>
      <c r="Z69" s="978"/>
      <c r="AA69" s="978"/>
      <c r="AB69" s="978"/>
      <c r="AC69" s="978"/>
      <c r="AD69" s="978"/>
      <c r="AE69" s="978"/>
      <c r="AF69" s="978"/>
      <c r="AG69" s="978"/>
      <c r="AH69" s="978"/>
      <c r="AI69" s="978"/>
      <c r="AJ69" s="653"/>
    </row>
    <row r="70" spans="1:36" hidden="1" x14ac:dyDescent="0.2">
      <c r="A70" s="975"/>
      <c r="B70" s="976"/>
      <c r="C70" s="977"/>
      <c r="D70" s="978"/>
      <c r="E70" s="978"/>
      <c r="F70" s="979"/>
      <c r="G70" s="978"/>
      <c r="H70" s="978"/>
      <c r="I70" s="978"/>
      <c r="J70" s="978"/>
      <c r="K70" s="980"/>
      <c r="L70" s="978"/>
      <c r="M70" s="978"/>
      <c r="N70" s="978"/>
      <c r="O70" s="978"/>
      <c r="P70" s="979"/>
      <c r="Q70" s="979"/>
      <c r="R70" s="979"/>
      <c r="S70" s="979"/>
      <c r="T70" s="978"/>
      <c r="U70" s="978"/>
      <c r="V70" s="978"/>
      <c r="W70" s="978"/>
      <c r="X70" s="649"/>
      <c r="Y70" s="979"/>
      <c r="Z70" s="978"/>
      <c r="AA70" s="978"/>
      <c r="AB70" s="978"/>
      <c r="AC70" s="978"/>
      <c r="AD70" s="978"/>
      <c r="AE70" s="978"/>
      <c r="AF70" s="978"/>
      <c r="AG70" s="978"/>
      <c r="AH70" s="978"/>
      <c r="AI70" s="978"/>
      <c r="AJ70" s="653"/>
    </row>
    <row r="71" spans="1:36" hidden="1" x14ac:dyDescent="0.2">
      <c r="A71" s="975"/>
      <c r="B71" s="976"/>
      <c r="C71" s="977"/>
      <c r="D71" s="978"/>
      <c r="E71" s="978"/>
      <c r="F71" s="979"/>
      <c r="G71" s="978"/>
      <c r="H71" s="978"/>
      <c r="I71" s="978"/>
      <c r="J71" s="978"/>
      <c r="K71" s="980"/>
      <c r="L71" s="978"/>
      <c r="M71" s="978"/>
      <c r="N71" s="978"/>
      <c r="O71" s="978"/>
      <c r="P71" s="979"/>
      <c r="Q71" s="979"/>
      <c r="R71" s="979"/>
      <c r="S71" s="979"/>
      <c r="T71" s="978"/>
      <c r="U71" s="978"/>
      <c r="V71" s="978"/>
      <c r="W71" s="978"/>
      <c r="X71" s="649"/>
      <c r="Y71" s="979"/>
      <c r="Z71" s="978"/>
      <c r="AA71" s="978"/>
      <c r="AB71" s="978"/>
      <c r="AC71" s="978"/>
      <c r="AD71" s="978"/>
      <c r="AE71" s="978"/>
      <c r="AF71" s="978"/>
      <c r="AG71" s="978"/>
      <c r="AH71" s="978"/>
      <c r="AI71" s="978"/>
      <c r="AJ71" s="653"/>
    </row>
    <row r="72" spans="1:36" hidden="1" x14ac:dyDescent="0.2">
      <c r="A72" s="975"/>
      <c r="B72" s="976"/>
      <c r="C72" s="977"/>
      <c r="D72" s="978"/>
      <c r="E72" s="978"/>
      <c r="F72" s="979"/>
      <c r="G72" s="978"/>
      <c r="H72" s="978"/>
      <c r="I72" s="978"/>
      <c r="J72" s="978"/>
      <c r="K72" s="980"/>
      <c r="L72" s="978"/>
      <c r="M72" s="978"/>
      <c r="N72" s="978"/>
      <c r="O72" s="978"/>
      <c r="P72" s="979"/>
      <c r="Q72" s="979"/>
      <c r="R72" s="979"/>
      <c r="S72" s="979"/>
      <c r="T72" s="978"/>
      <c r="U72" s="978"/>
      <c r="V72" s="978"/>
      <c r="W72" s="978"/>
      <c r="X72" s="649"/>
      <c r="Y72" s="979"/>
      <c r="Z72" s="978"/>
      <c r="AA72" s="978"/>
      <c r="AB72" s="978"/>
      <c r="AC72" s="978"/>
      <c r="AD72" s="978"/>
      <c r="AE72" s="978"/>
      <c r="AF72" s="978"/>
      <c r="AG72" s="978"/>
      <c r="AH72" s="978"/>
      <c r="AI72" s="978"/>
      <c r="AJ72" s="653"/>
    </row>
    <row r="73" spans="1:36" hidden="1" x14ac:dyDescent="0.2">
      <c r="A73" s="975"/>
      <c r="B73" s="976"/>
      <c r="C73" s="977"/>
      <c r="D73" s="978"/>
      <c r="E73" s="978"/>
      <c r="F73" s="979"/>
      <c r="G73" s="978"/>
      <c r="H73" s="978"/>
      <c r="I73" s="978"/>
      <c r="J73" s="978"/>
      <c r="K73" s="980"/>
      <c r="L73" s="978"/>
      <c r="M73" s="978"/>
      <c r="N73" s="978"/>
      <c r="O73" s="978"/>
      <c r="P73" s="979"/>
      <c r="Q73" s="979"/>
      <c r="R73" s="979"/>
      <c r="S73" s="979"/>
      <c r="T73" s="978"/>
      <c r="U73" s="978"/>
      <c r="V73" s="978"/>
      <c r="W73" s="978"/>
      <c r="X73" s="649"/>
      <c r="Y73" s="979"/>
      <c r="Z73" s="978"/>
      <c r="AA73" s="978"/>
      <c r="AB73" s="978"/>
      <c r="AC73" s="978"/>
      <c r="AD73" s="978"/>
      <c r="AE73" s="978"/>
      <c r="AF73" s="978"/>
      <c r="AG73" s="978"/>
      <c r="AH73" s="978"/>
      <c r="AI73" s="978"/>
      <c r="AJ73" s="653"/>
    </row>
    <row r="74" spans="1:36" hidden="1" x14ac:dyDescent="0.2">
      <c r="A74" s="975"/>
      <c r="B74" s="976"/>
      <c r="C74" s="977"/>
      <c r="D74" s="978"/>
      <c r="E74" s="978"/>
      <c r="F74" s="979"/>
      <c r="G74" s="978"/>
      <c r="H74" s="978"/>
      <c r="I74" s="978"/>
      <c r="J74" s="978"/>
      <c r="K74" s="980"/>
      <c r="L74" s="978"/>
      <c r="M74" s="978"/>
      <c r="N74" s="978"/>
      <c r="O74" s="978"/>
      <c r="P74" s="979"/>
      <c r="Q74" s="979"/>
      <c r="R74" s="979"/>
      <c r="S74" s="979"/>
      <c r="T74" s="978"/>
      <c r="U74" s="978"/>
      <c r="V74" s="978"/>
      <c r="W74" s="978"/>
      <c r="X74" s="649"/>
      <c r="Y74" s="979"/>
      <c r="Z74" s="978"/>
      <c r="AA74" s="978"/>
      <c r="AB74" s="978"/>
      <c r="AC74" s="978"/>
      <c r="AD74" s="978"/>
      <c r="AE74" s="978"/>
      <c r="AF74" s="978"/>
      <c r="AG74" s="978"/>
      <c r="AH74" s="978"/>
      <c r="AI74" s="978"/>
      <c r="AJ74" s="653"/>
    </row>
    <row r="75" spans="1:36" hidden="1" x14ac:dyDescent="0.2">
      <c r="A75" s="975"/>
      <c r="B75" s="976"/>
      <c r="C75" s="977"/>
      <c r="D75" s="978"/>
      <c r="E75" s="978"/>
      <c r="F75" s="979"/>
      <c r="G75" s="978"/>
      <c r="H75" s="978"/>
      <c r="I75" s="978"/>
      <c r="J75" s="978"/>
      <c r="K75" s="980"/>
      <c r="L75" s="978"/>
      <c r="M75" s="978"/>
      <c r="N75" s="978"/>
      <c r="O75" s="978"/>
      <c r="P75" s="979"/>
      <c r="Q75" s="979"/>
      <c r="R75" s="979"/>
      <c r="S75" s="979"/>
      <c r="T75" s="978"/>
      <c r="U75" s="978"/>
      <c r="V75" s="978"/>
      <c r="W75" s="978"/>
      <c r="X75" s="649"/>
      <c r="Y75" s="979"/>
      <c r="Z75" s="978"/>
      <c r="AA75" s="978"/>
      <c r="AB75" s="978"/>
      <c r="AC75" s="978"/>
      <c r="AD75" s="978"/>
      <c r="AE75" s="978"/>
      <c r="AF75" s="978"/>
      <c r="AG75" s="978"/>
      <c r="AH75" s="978"/>
      <c r="AI75" s="978"/>
      <c r="AJ75" s="653"/>
    </row>
    <row r="76" spans="1:36" s="660" customFormat="1" ht="13.5" thickBot="1" x14ac:dyDescent="0.25">
      <c r="A76" s="657"/>
      <c r="B76" s="689"/>
      <c r="C76" s="658" t="s">
        <v>180</v>
      </c>
      <c r="D76" s="991">
        <f>SUM(D5:D75)</f>
        <v>892</v>
      </c>
      <c r="E76" s="991">
        <f t="shared" ref="E76:W76" si="4">SUM(E5:E75)</f>
        <v>0</v>
      </c>
      <c r="F76" s="659">
        <f t="shared" si="4"/>
        <v>39145</v>
      </c>
      <c r="G76" s="991">
        <f t="shared" si="4"/>
        <v>0</v>
      </c>
      <c r="H76" s="991">
        <f t="shared" si="4"/>
        <v>-1231</v>
      </c>
      <c r="I76" s="991">
        <f t="shared" si="4"/>
        <v>500</v>
      </c>
      <c r="J76" s="991">
        <f t="shared" si="4"/>
        <v>30917</v>
      </c>
      <c r="K76" s="991">
        <f t="shared" si="4"/>
        <v>0</v>
      </c>
      <c r="L76" s="991">
        <f t="shared" si="4"/>
        <v>2518</v>
      </c>
      <c r="M76" s="991">
        <f t="shared" si="4"/>
        <v>0</v>
      </c>
      <c r="N76" s="991">
        <f t="shared" si="4"/>
        <v>426</v>
      </c>
      <c r="O76" s="991">
        <f t="shared" si="4"/>
        <v>0</v>
      </c>
      <c r="P76" s="991">
        <f t="shared" si="4"/>
        <v>-10761</v>
      </c>
      <c r="Q76" s="991">
        <f t="shared" si="4"/>
        <v>2952</v>
      </c>
      <c r="R76" s="991">
        <f t="shared" si="4"/>
        <v>-136</v>
      </c>
      <c r="S76" s="991">
        <f t="shared" si="4"/>
        <v>-133</v>
      </c>
      <c r="T76" s="991">
        <f t="shared" si="4"/>
        <v>0</v>
      </c>
      <c r="U76" s="991">
        <f t="shared" si="4"/>
        <v>-11200</v>
      </c>
      <c r="V76" s="991">
        <f t="shared" si="4"/>
        <v>-41021</v>
      </c>
      <c r="W76" s="991">
        <f t="shared" si="4"/>
        <v>0</v>
      </c>
      <c r="X76" s="649">
        <f t="shared" si="2"/>
        <v>12868</v>
      </c>
      <c r="Y76" s="659">
        <f>SUM(Y5:Y75)</f>
        <v>0</v>
      </c>
      <c r="Z76" s="659">
        <f t="shared" ref="Z76:AI76" si="5">SUM(Z5:Z75)</f>
        <v>1089</v>
      </c>
      <c r="AA76" s="659">
        <f t="shared" si="5"/>
        <v>3779</v>
      </c>
      <c r="AB76" s="659">
        <f t="shared" si="5"/>
        <v>8000</v>
      </c>
      <c r="AC76" s="659">
        <f t="shared" si="5"/>
        <v>0</v>
      </c>
      <c r="AD76" s="659">
        <f t="shared" si="5"/>
        <v>0</v>
      </c>
      <c r="AE76" s="659">
        <f t="shared" si="5"/>
        <v>0</v>
      </c>
      <c r="AF76" s="659">
        <f t="shared" si="5"/>
        <v>0</v>
      </c>
      <c r="AG76" s="659">
        <f t="shared" si="5"/>
        <v>0</v>
      </c>
      <c r="AH76" s="659">
        <f t="shared" si="5"/>
        <v>0</v>
      </c>
      <c r="AI76" s="659">
        <f t="shared" si="5"/>
        <v>0</v>
      </c>
      <c r="AJ76" s="653">
        <f t="shared" ref="AJ76" si="6">SUM(Y76:AI76)</f>
        <v>12868</v>
      </c>
    </row>
    <row r="79" spans="1:36" x14ac:dyDescent="0.2">
      <c r="X79" s="750"/>
    </row>
  </sheetData>
  <mergeCells count="39"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  <mergeCell ref="Y3:Y4"/>
    <mergeCell ref="L3:L4"/>
    <mergeCell ref="M3:M4"/>
    <mergeCell ref="N3:N4"/>
    <mergeCell ref="O3:O4"/>
    <mergeCell ref="P3:P4"/>
    <mergeCell ref="Q3:Q4"/>
    <mergeCell ref="R3:R4"/>
    <mergeCell ref="S3:S4"/>
    <mergeCell ref="U3:U4"/>
    <mergeCell ref="V3:V4"/>
    <mergeCell ref="W3:W4"/>
    <mergeCell ref="T3:T4"/>
    <mergeCell ref="K3:K4"/>
    <mergeCell ref="A1:X1"/>
    <mergeCell ref="AH1:AJ1"/>
    <mergeCell ref="A2:A4"/>
    <mergeCell ref="B2:B4"/>
    <mergeCell ref="C2:C4"/>
    <mergeCell ref="D2:V2"/>
    <mergeCell ref="X2:X4"/>
    <mergeCell ref="Y2:AI2"/>
    <mergeCell ref="AJ2:AJ4"/>
    <mergeCell ref="D3:D4"/>
    <mergeCell ref="E3:E4"/>
    <mergeCell ref="F3:F4"/>
    <mergeCell ref="G3:G4"/>
    <mergeCell ref="H3:I3"/>
    <mergeCell ref="J3:J4"/>
  </mergeCells>
  <pageMargins left="0.70866141732283472" right="0.70866141732283472" top="0.74803149606299213" bottom="0.74803149606299213" header="0.31496062992125984" footer="0.31496062992125984"/>
  <pageSetup paperSize="8" scale="59" fitToWidth="2" orientation="landscape" r:id="rId1"/>
  <headerFooter>
    <oddHeader>&amp;C&amp;"Times New Roman,Félkövér"&amp;12Martonvásár Város Önkormányzatának 2021. évi költségvetés módosításainak részletezése&amp;R&amp;"Times New Roman,Félkövér"&amp;12 3.1. számú tájékoztató</oddHeader>
  </headerFooter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zoomScaleNormal="100" workbookViewId="0">
      <selection activeCell="D6" sqref="D6"/>
    </sheetView>
  </sheetViews>
  <sheetFormatPr defaultColWidth="8.7109375" defaultRowHeight="12.75" customHeight="1" x14ac:dyDescent="0.25"/>
  <cols>
    <col min="1" max="1" width="18.85546875" style="148" customWidth="1"/>
    <col min="2" max="2" width="35.140625" style="149" customWidth="1"/>
    <col min="3" max="3" width="12.42578125" style="149" customWidth="1"/>
    <col min="4" max="5" width="11.7109375" style="149" customWidth="1"/>
    <col min="6" max="6" width="45.42578125" style="149" customWidth="1"/>
    <col min="7" max="7" width="12.85546875" style="149" customWidth="1"/>
    <col min="8" max="9" width="12.42578125" style="149" customWidth="1"/>
    <col min="10" max="11" width="8.7109375" style="149"/>
    <col min="12" max="16384" width="8.7109375" style="148"/>
  </cols>
  <sheetData>
    <row r="1" spans="2:11" ht="16.5" customHeight="1" thickBot="1" x14ac:dyDescent="0.3">
      <c r="B1" s="150"/>
      <c r="C1" s="150"/>
      <c r="D1" s="150"/>
      <c r="E1" s="150"/>
      <c r="F1" s="150"/>
      <c r="G1" s="150"/>
      <c r="H1" s="150"/>
      <c r="I1" s="151"/>
      <c r="J1" s="147"/>
      <c r="K1" s="147"/>
    </row>
    <row r="2" spans="2:11" ht="39" thickBot="1" x14ac:dyDescent="0.3">
      <c r="B2" s="152" t="s">
        <v>335</v>
      </c>
      <c r="C2" s="187" t="s">
        <v>914</v>
      </c>
      <c r="D2" s="153" t="s">
        <v>684</v>
      </c>
      <c r="E2" s="187" t="s">
        <v>938</v>
      </c>
      <c r="F2" s="152" t="s">
        <v>336</v>
      </c>
      <c r="G2" s="187" t="s">
        <v>914</v>
      </c>
      <c r="H2" s="187" t="s">
        <v>684</v>
      </c>
      <c r="I2" s="187" t="s">
        <v>938</v>
      </c>
      <c r="J2" s="154"/>
      <c r="K2" s="147"/>
    </row>
    <row r="3" spans="2:11" ht="13.5" customHeight="1" x14ac:dyDescent="0.25">
      <c r="B3" s="155" t="s">
        <v>337</v>
      </c>
      <c r="C3" s="366">
        <f>SUM(C4:C8)</f>
        <v>1134635</v>
      </c>
      <c r="D3" s="366">
        <f t="shared" ref="D3:E3" si="0">SUM(D4:D8)</f>
        <v>14407</v>
      </c>
      <c r="E3" s="366">
        <f t="shared" si="0"/>
        <v>1149042</v>
      </c>
      <c r="F3" s="948" t="s">
        <v>433</v>
      </c>
      <c r="G3" s="949">
        <f>+G4+G5+G6+G8+G9+G10</f>
        <v>1507147</v>
      </c>
      <c r="H3" s="949">
        <f t="shared" ref="H3:I3" si="1">+H4+H5+H6+H8+H9+H10</f>
        <v>-19028</v>
      </c>
      <c r="I3" s="949">
        <f t="shared" si="1"/>
        <v>1488119</v>
      </c>
      <c r="J3" s="154"/>
      <c r="K3" s="147"/>
    </row>
    <row r="4" spans="2:11" ht="15" customHeight="1" x14ac:dyDescent="0.25">
      <c r="B4" s="156" t="s">
        <v>410</v>
      </c>
      <c r="C4" s="157">
        <f>+'1.mell. Mérleg'!C7</f>
        <v>676921</v>
      </c>
      <c r="D4" s="188">
        <f>+'1.mell. Mérleg'!D7</f>
        <v>3779</v>
      </c>
      <c r="E4" s="188">
        <f>+'1.mell. Mérleg'!E7</f>
        <v>680700</v>
      </c>
      <c r="F4" s="456" t="s">
        <v>338</v>
      </c>
      <c r="G4" s="457">
        <f>+'1.mell. Mérleg'!C31</f>
        <v>382993</v>
      </c>
      <c r="H4" s="457">
        <f>+'1.mell. Mérleg'!D31</f>
        <v>2420</v>
      </c>
      <c r="I4" s="457">
        <f>+'1.mell. Mérleg'!E31</f>
        <v>385413</v>
      </c>
      <c r="J4" s="154"/>
      <c r="K4" s="147"/>
    </row>
    <row r="5" spans="2:11" ht="15" customHeight="1" x14ac:dyDescent="0.25">
      <c r="B5" s="156" t="s">
        <v>434</v>
      </c>
      <c r="C5" s="307">
        <f>+'3.mell. Bevétel'!C54</f>
        <v>357987</v>
      </c>
      <c r="D5" s="307">
        <f>+'3.mell. Bevétel'!D54</f>
        <v>0</v>
      </c>
      <c r="E5" s="307">
        <f>+'3.mell. Bevétel'!E54</f>
        <v>357987</v>
      </c>
      <c r="F5" s="191" t="s">
        <v>339</v>
      </c>
      <c r="G5" s="159">
        <f>+'1.mell. Mérleg'!C32</f>
        <v>65234</v>
      </c>
      <c r="H5" s="159">
        <f>+'1.mell. Mérleg'!D32</f>
        <v>367</v>
      </c>
      <c r="I5" s="159">
        <f>+'1.mell. Mérleg'!E32</f>
        <v>65601</v>
      </c>
      <c r="J5" s="154"/>
      <c r="K5" s="147"/>
    </row>
    <row r="6" spans="2:11" ht="15" customHeight="1" x14ac:dyDescent="0.25">
      <c r="B6" s="156" t="s">
        <v>337</v>
      </c>
      <c r="C6" s="307">
        <f>+'1.mell. Mérleg'!C13</f>
        <v>89519</v>
      </c>
      <c r="D6" s="307">
        <f>+'1.mell. Mérleg'!D13</f>
        <v>2628</v>
      </c>
      <c r="E6" s="307">
        <f>+'1.mell. Mérleg'!E13</f>
        <v>92147</v>
      </c>
      <c r="F6" s="191" t="s">
        <v>340</v>
      </c>
      <c r="G6" s="188">
        <f>+'1.mell. Mérleg'!C33</f>
        <v>361320</v>
      </c>
      <c r="H6" s="188">
        <f>+'1.mell. Mérleg'!D33</f>
        <v>39215</v>
      </c>
      <c r="I6" s="188">
        <f>+'1.mell. Mérleg'!E33</f>
        <v>400535</v>
      </c>
      <c r="J6" s="154"/>
      <c r="K6" s="147"/>
    </row>
    <row r="7" spans="2:11" ht="15" customHeight="1" x14ac:dyDescent="0.25">
      <c r="B7" s="185" t="s">
        <v>411</v>
      </c>
      <c r="C7" s="307">
        <f>+'1.mell. Mérleg'!C14</f>
        <v>10208</v>
      </c>
      <c r="D7" s="307">
        <f>+'1.mell. Mérleg'!D14</f>
        <v>8000</v>
      </c>
      <c r="E7" s="307">
        <f>+'1.mell. Mérleg'!E14</f>
        <v>18208</v>
      </c>
      <c r="F7" s="454" t="s">
        <v>554</v>
      </c>
      <c r="G7" s="188">
        <f>+'5.b. mell. VF saját forrásból'!D30+'5.c. mell. VF Eu forrásból'!D30</f>
        <v>136048</v>
      </c>
      <c r="H7" s="188">
        <f>+'5.b. mell. VF saját forrásból'!E30+'5.c. mell. VF Eu forrásból'!E30</f>
        <v>0</v>
      </c>
      <c r="I7" s="188">
        <f>+'5.b. mell. VF saját forrásból'!F30+'5.c. mell. VF Eu forrásból'!F30</f>
        <v>136048</v>
      </c>
      <c r="J7" s="154"/>
      <c r="K7" s="147"/>
    </row>
    <row r="8" spans="2:11" ht="15" customHeight="1" x14ac:dyDescent="0.25">
      <c r="B8" s="156"/>
      <c r="C8" s="307"/>
      <c r="D8" s="157"/>
      <c r="E8" s="289"/>
      <c r="F8" s="191" t="s">
        <v>341</v>
      </c>
      <c r="G8" s="188">
        <f>+'5. mell. Önk.össz kiadás'!D16</f>
        <v>5883</v>
      </c>
      <c r="H8" s="188">
        <f>+'5. mell. Önk.össz kiadás'!E16</f>
        <v>0</v>
      </c>
      <c r="I8" s="188">
        <f>+'5. mell. Önk.össz kiadás'!F16</f>
        <v>5883</v>
      </c>
      <c r="J8" s="154"/>
      <c r="K8" s="147"/>
    </row>
    <row r="9" spans="2:11" ht="15" customHeight="1" x14ac:dyDescent="0.25">
      <c r="B9" s="156"/>
      <c r="C9" s="157"/>
      <c r="D9" s="157"/>
      <c r="E9" s="289"/>
      <c r="F9" s="191" t="s">
        <v>370</v>
      </c>
      <c r="G9" s="188">
        <f>+'1.mell. Mérleg'!C35</f>
        <v>382086</v>
      </c>
      <c r="H9" s="188">
        <f>+'1.mell. Mérleg'!D35</f>
        <v>-731</v>
      </c>
      <c r="I9" s="188">
        <f>+'1.mell. Mérleg'!E35</f>
        <v>381355</v>
      </c>
      <c r="J9" s="154"/>
      <c r="K9" s="147"/>
    </row>
    <row r="10" spans="2:11" ht="15" customHeight="1" x14ac:dyDescent="0.25">
      <c r="B10" s="160" t="s">
        <v>283</v>
      </c>
      <c r="C10" s="161">
        <f>+C11</f>
        <v>207063</v>
      </c>
      <c r="D10" s="161">
        <f t="shared" ref="D10:E10" si="2">+D11</f>
        <v>0</v>
      </c>
      <c r="E10" s="161">
        <f t="shared" si="2"/>
        <v>207063</v>
      </c>
      <c r="F10" s="191" t="s">
        <v>666</v>
      </c>
      <c r="G10" s="188">
        <f>+'5. mell. Önk.össz kiadás'!D19</f>
        <v>309631</v>
      </c>
      <c r="H10" s="188">
        <f>+'5. mell. Önk.össz kiadás'!E19</f>
        <v>-60299</v>
      </c>
      <c r="I10" s="188">
        <f>+'5. mell. Önk.össz kiadás'!F19</f>
        <v>249332</v>
      </c>
      <c r="J10" s="154"/>
      <c r="K10" s="147"/>
    </row>
    <row r="11" spans="2:11" ht="15" customHeight="1" x14ac:dyDescent="0.25">
      <c r="B11" s="156" t="s">
        <v>375</v>
      </c>
      <c r="C11" s="157">
        <f>+'1.mell. Mérleg'!C23</f>
        <v>207063</v>
      </c>
      <c r="D11" s="188">
        <f>+'1.mell. Mérleg'!D23</f>
        <v>0</v>
      </c>
      <c r="E11" s="188">
        <f>+'1.mell. Mérleg'!E23</f>
        <v>207063</v>
      </c>
      <c r="F11" s="920" t="s">
        <v>867</v>
      </c>
      <c r="G11" s="188">
        <f>+'5.g. mell. Egyéb tev.'!D64</f>
        <v>0</v>
      </c>
      <c r="H11" s="188">
        <f>+'5.g. mell. Egyéb tev.'!E64</f>
        <v>0</v>
      </c>
      <c r="I11" s="188">
        <f>+'5.g. mell. Egyéb tev.'!F64</f>
        <v>0</v>
      </c>
      <c r="J11" s="154"/>
      <c r="K11" s="147"/>
    </row>
    <row r="12" spans="2:11" ht="15" customHeight="1" x14ac:dyDescent="0.25">
      <c r="B12" s="185"/>
      <c r="C12" s="188"/>
      <c r="D12" s="188"/>
      <c r="E12" s="188"/>
      <c r="F12" s="920" t="s">
        <v>817</v>
      </c>
      <c r="G12" s="188">
        <f>+'5.g. mell. Egyéb tev.'!D65</f>
        <v>0</v>
      </c>
      <c r="H12" s="188">
        <f>+'5.g. mell. Egyéb tev.'!E65</f>
        <v>0</v>
      </c>
      <c r="I12" s="188">
        <f>+'5.g. mell. Egyéb tev.'!F65</f>
        <v>0</v>
      </c>
      <c r="J12" s="154"/>
      <c r="K12" s="147"/>
    </row>
    <row r="13" spans="2:11" ht="15" customHeight="1" x14ac:dyDescent="0.25">
      <c r="B13" s="185"/>
      <c r="C13" s="188"/>
      <c r="D13" s="188"/>
      <c r="E13" s="188"/>
      <c r="F13" s="920" t="s">
        <v>846</v>
      </c>
      <c r="G13" s="188">
        <f>+'5.g. mell. Egyéb tev.'!D69</f>
        <v>6385</v>
      </c>
      <c r="H13" s="188">
        <f>+'5.g. mell. Egyéb tev.'!E69</f>
        <v>-136</v>
      </c>
      <c r="I13" s="188">
        <f>+'5.g. mell. Egyéb tev.'!F69</f>
        <v>6249</v>
      </c>
      <c r="J13" s="154"/>
      <c r="K13" s="147"/>
    </row>
    <row r="14" spans="2:11" ht="15" customHeight="1" x14ac:dyDescent="0.25">
      <c r="B14" s="185"/>
      <c r="C14" s="188"/>
      <c r="D14" s="188"/>
      <c r="E14" s="188"/>
      <c r="F14" s="920" t="s">
        <v>847</v>
      </c>
      <c r="G14" s="188">
        <f>+'5.g. mell. Egyéb tev.'!D66</f>
        <v>0</v>
      </c>
      <c r="H14" s="188">
        <f>+'5.g. mell. Egyéb tev.'!E66</f>
        <v>0</v>
      </c>
      <c r="I14" s="188">
        <f>+'5.g. mell. Egyéb tev.'!F66</f>
        <v>0</v>
      </c>
      <c r="J14" s="154"/>
      <c r="K14" s="147"/>
    </row>
    <row r="15" spans="2:11" ht="15" customHeight="1" x14ac:dyDescent="0.25">
      <c r="B15" s="185"/>
      <c r="C15" s="186"/>
      <c r="D15" s="186"/>
      <c r="E15" s="186"/>
      <c r="F15" s="920" t="s">
        <v>675</v>
      </c>
      <c r="G15" s="188">
        <f>+'5.g. mell. Egyéb tev.'!D68</f>
        <v>851</v>
      </c>
      <c r="H15" s="188">
        <f>+'5.g. mell. Egyéb tev.'!E68</f>
        <v>2952</v>
      </c>
      <c r="I15" s="188">
        <f>+'5.g. mell. Egyéb tev.'!F68</f>
        <v>3803</v>
      </c>
      <c r="J15" s="154"/>
      <c r="K15" s="147"/>
    </row>
    <row r="16" spans="2:11" ht="15" customHeight="1" x14ac:dyDescent="0.25">
      <c r="B16" s="156"/>
      <c r="C16" s="157"/>
      <c r="D16" s="188"/>
      <c r="E16" s="188"/>
      <c r="F16" s="920" t="s">
        <v>848</v>
      </c>
      <c r="G16" s="188">
        <f>+'5.g. mell. Egyéb tev.'!D67</f>
        <v>217363</v>
      </c>
      <c r="H16" s="188">
        <f>+'5.g. mell. Egyéb tev.'!E67</f>
        <v>-41021</v>
      </c>
      <c r="I16" s="188">
        <f>+'5.g. mell. Egyéb tev.'!F67</f>
        <v>176342</v>
      </c>
      <c r="J16" s="154"/>
      <c r="K16" s="147"/>
    </row>
    <row r="17" spans="2:11" s="165" customFormat="1" ht="15" customHeight="1" x14ac:dyDescent="0.25">
      <c r="B17" s="156"/>
      <c r="C17" s="157"/>
      <c r="D17" s="157"/>
      <c r="E17" s="289"/>
      <c r="F17" s="920" t="s">
        <v>601</v>
      </c>
      <c r="G17" s="188">
        <f>+'5.g. mell. Egyéb tev.'!D70</f>
        <v>28443</v>
      </c>
      <c r="H17" s="188">
        <f>+'5.g. mell. Egyéb tev.'!E70</f>
        <v>-10761</v>
      </c>
      <c r="I17" s="188">
        <f>+'5.g. mell. Egyéb tev.'!F70</f>
        <v>17682</v>
      </c>
      <c r="J17" s="154"/>
      <c r="K17" s="147"/>
    </row>
    <row r="18" spans="2:11" s="168" customFormat="1" ht="15.75" thickBot="1" x14ac:dyDescent="0.3">
      <c r="B18" s="163"/>
      <c r="C18" s="164"/>
      <c r="D18" s="164"/>
      <c r="E18" s="290"/>
      <c r="F18" s="920" t="s">
        <v>865</v>
      </c>
      <c r="G18" s="188">
        <f>+'5.g. mell. Egyéb tev.'!D71</f>
        <v>45389</v>
      </c>
      <c r="H18" s="188">
        <f>+'5.g. mell. Egyéb tev.'!E71</f>
        <v>-133</v>
      </c>
      <c r="I18" s="188">
        <f>+'5.g. mell. Egyéb tev.'!F71</f>
        <v>45256</v>
      </c>
      <c r="J18" s="154"/>
      <c r="K18" s="147"/>
    </row>
    <row r="19" spans="2:11" ht="15.75" thickBot="1" x14ac:dyDescent="0.3">
      <c r="B19" s="166" t="s">
        <v>342</v>
      </c>
      <c r="C19" s="167">
        <f>+C10+C3</f>
        <v>1341698</v>
      </c>
      <c r="D19" s="167">
        <f>+D10+D3</f>
        <v>14407</v>
      </c>
      <c r="E19" s="167">
        <f>+E10+E3</f>
        <v>1356105</v>
      </c>
      <c r="F19" s="455" t="s">
        <v>342</v>
      </c>
      <c r="G19" s="167">
        <f>+G3</f>
        <v>1507147</v>
      </c>
      <c r="H19" s="167">
        <f t="shared" ref="H19:I19" si="3">+H3</f>
        <v>-19028</v>
      </c>
      <c r="I19" s="167">
        <f t="shared" si="3"/>
        <v>1488119</v>
      </c>
      <c r="J19" s="147"/>
      <c r="K19" s="603"/>
    </row>
    <row r="20" spans="2:11" ht="13.5" customHeight="1" x14ac:dyDescent="0.25">
      <c r="B20" s="169"/>
      <c r="C20" s="169"/>
      <c r="D20" s="169"/>
      <c r="E20" s="170"/>
      <c r="F20" s="171"/>
      <c r="G20" s="447"/>
      <c r="H20" s="171"/>
      <c r="I20" s="170"/>
      <c r="J20" s="147"/>
      <c r="K20" s="147"/>
    </row>
    <row r="21" spans="2:11" s="149" customFormat="1" ht="25.5" customHeight="1" thickBot="1" x14ac:dyDescent="0.3">
      <c r="B21" s="193"/>
      <c r="C21" s="447"/>
      <c r="D21" s="447"/>
      <c r="E21" s="601"/>
      <c r="F21" s="172"/>
      <c r="G21" s="172"/>
      <c r="H21" s="172"/>
      <c r="I21" s="173"/>
      <c r="J21" s="193"/>
      <c r="K21" s="147"/>
    </row>
    <row r="22" spans="2:11" s="149" customFormat="1" ht="39" thickBot="1" x14ac:dyDescent="0.3">
      <c r="B22" s="189" t="s">
        <v>335</v>
      </c>
      <c r="C22" s="187" t="s">
        <v>914</v>
      </c>
      <c r="D22" s="187" t="s">
        <v>684</v>
      </c>
      <c r="E22" s="187" t="s">
        <v>938</v>
      </c>
      <c r="F22" s="152" t="s">
        <v>336</v>
      </c>
      <c r="G22" s="187" t="s">
        <v>914</v>
      </c>
      <c r="H22" s="187" t="s">
        <v>684</v>
      </c>
      <c r="I22" s="187" t="s">
        <v>938</v>
      </c>
      <c r="J22" s="154"/>
      <c r="K22" s="147"/>
    </row>
    <row r="23" spans="2:11" s="149" customFormat="1" ht="15" x14ac:dyDescent="0.25">
      <c r="B23" s="192" t="s">
        <v>447</v>
      </c>
      <c r="C23" s="602">
        <f>+C24+C25+C26</f>
        <v>140953</v>
      </c>
      <c r="D23" s="602">
        <f t="shared" ref="D23:E23" si="4">+D24+D25+D26</f>
        <v>0</v>
      </c>
      <c r="E23" s="602">
        <f t="shared" si="4"/>
        <v>140953</v>
      </c>
      <c r="F23" s="950" t="s">
        <v>405</v>
      </c>
      <c r="G23" s="453">
        <f>(+G24+G25)+G26</f>
        <v>518675</v>
      </c>
      <c r="H23" s="453">
        <f t="shared" ref="H23:I23" si="5">(+H24+H25)+H26</f>
        <v>33435</v>
      </c>
      <c r="I23" s="453">
        <f t="shared" si="5"/>
        <v>552110</v>
      </c>
      <c r="J23" s="154"/>
      <c r="K23" s="175"/>
    </row>
    <row r="24" spans="2:11" s="149" customFormat="1" ht="15" x14ac:dyDescent="0.25">
      <c r="B24" s="191" t="s">
        <v>667</v>
      </c>
      <c r="C24" s="307">
        <f>+'1.mell. Mérleg'!C16</f>
        <v>130953</v>
      </c>
      <c r="D24" s="307">
        <f>+'1.mell. Mérleg'!D16</f>
        <v>0</v>
      </c>
      <c r="E24" s="307">
        <f>+'1.mell. Mérleg'!E16</f>
        <v>130953</v>
      </c>
      <c r="F24" s="156" t="s">
        <v>161</v>
      </c>
      <c r="G24" s="174">
        <f>+'1.mell. Mérleg'!C38</f>
        <v>476902</v>
      </c>
      <c r="H24" s="174">
        <f>+'1.mell. Mérleg'!D38</f>
        <v>30917</v>
      </c>
      <c r="I24" s="174">
        <f>+'1.mell. Mérleg'!E38</f>
        <v>507819</v>
      </c>
      <c r="J24" s="154"/>
      <c r="K24" s="147"/>
    </row>
    <row r="25" spans="2:11" s="149" customFormat="1" ht="15" x14ac:dyDescent="0.25">
      <c r="B25" s="191" t="s">
        <v>343</v>
      </c>
      <c r="C25" s="307">
        <f>+'3.mell. Bevétel'!C71</f>
        <v>0</v>
      </c>
      <c r="D25" s="307">
        <f>+'3.mell. Bevétel'!D71</f>
        <v>0</v>
      </c>
      <c r="E25" s="307">
        <f>+'3.mell. Bevétel'!E71</f>
        <v>0</v>
      </c>
      <c r="F25" s="156" t="s">
        <v>311</v>
      </c>
      <c r="G25" s="174">
        <f>+'5. mell. Önk.össz kiadás'!D23</f>
        <v>31037</v>
      </c>
      <c r="H25" s="174">
        <f>+'5. mell. Önk.össz kiadás'!E23</f>
        <v>0</v>
      </c>
      <c r="I25" s="174">
        <f>+'5. mell. Önk.össz kiadás'!F23</f>
        <v>31037</v>
      </c>
      <c r="J25" s="154"/>
      <c r="K25" s="147"/>
    </row>
    <row r="26" spans="2:11" s="149" customFormat="1" ht="15" x14ac:dyDescent="0.25">
      <c r="B26" s="191" t="s">
        <v>627</v>
      </c>
      <c r="C26" s="188">
        <f>+'3.mell. Bevétel'!C67</f>
        <v>10000</v>
      </c>
      <c r="D26" s="185">
        <f>+'3.mell. Bevétel'!D67</f>
        <v>0</v>
      </c>
      <c r="E26" s="185">
        <f>+'3.mell. Bevétel'!E67</f>
        <v>10000</v>
      </c>
      <c r="F26" s="156" t="s">
        <v>412</v>
      </c>
      <c r="G26" s="174">
        <f>+'5. mell. Önk.össz kiadás'!D25</f>
        <v>10736</v>
      </c>
      <c r="H26" s="174">
        <f>+'5. mell. Önk.össz kiadás'!E25</f>
        <v>2518</v>
      </c>
      <c r="I26" s="174">
        <f>+'5. mell. Önk.össz kiadás'!F25</f>
        <v>13254</v>
      </c>
      <c r="J26" s="154"/>
      <c r="K26" s="147"/>
    </row>
    <row r="27" spans="2:11" s="149" customFormat="1" ht="15" x14ac:dyDescent="0.25">
      <c r="B27" s="190" t="s">
        <v>283</v>
      </c>
      <c r="C27" s="367">
        <f>+C28+C29</f>
        <v>564916</v>
      </c>
      <c r="D27" s="367">
        <f t="shared" ref="D27:E27" si="6">+D28+D29</f>
        <v>0</v>
      </c>
      <c r="E27" s="367">
        <f t="shared" si="6"/>
        <v>564916</v>
      </c>
      <c r="F27" s="156"/>
      <c r="G27" s="156"/>
      <c r="H27" s="176"/>
      <c r="I27" s="158"/>
      <c r="J27" s="154"/>
      <c r="K27" s="147"/>
    </row>
    <row r="28" spans="2:11" s="149" customFormat="1" ht="15" x14ac:dyDescent="0.25">
      <c r="B28" s="191" t="s">
        <v>376</v>
      </c>
      <c r="C28" s="188">
        <f>+'3.mell. Bevétel'!C78</f>
        <v>564916</v>
      </c>
      <c r="D28" s="188">
        <f>+'3.mell. Bevétel'!D78</f>
        <v>0</v>
      </c>
      <c r="E28" s="188">
        <f>+'3.mell. Bevétel'!E78</f>
        <v>564916</v>
      </c>
      <c r="F28" s="162" t="s">
        <v>274</v>
      </c>
      <c r="G28" s="177">
        <f>+'1.mell. Mérleg'!C42</f>
        <v>21745</v>
      </c>
      <c r="H28" s="177">
        <f>+'1.mell. Mérleg'!D42</f>
        <v>0</v>
      </c>
      <c r="I28" s="177">
        <f>+'1.mell. Mérleg'!E42</f>
        <v>21745</v>
      </c>
      <c r="J28" s="154"/>
      <c r="K28" s="147"/>
    </row>
    <row r="29" spans="2:11" s="168" customFormat="1" ht="18.75" customHeight="1" x14ac:dyDescent="0.25">
      <c r="B29" s="597" t="s">
        <v>665</v>
      </c>
      <c r="C29" s="188">
        <f>+'3.mell. Bevétel'!C75</f>
        <v>0</v>
      </c>
      <c r="D29" s="188">
        <f>+'3.mell. Bevétel'!D75</f>
        <v>0</v>
      </c>
      <c r="E29" s="188">
        <f>+'3.mell. Bevétel'!E75</f>
        <v>0</v>
      </c>
      <c r="F29" s="185" t="s">
        <v>849</v>
      </c>
      <c r="G29" s="176"/>
      <c r="H29" s="174"/>
      <c r="I29" s="158"/>
      <c r="J29" s="154"/>
      <c r="K29" s="147"/>
    </row>
    <row r="30" spans="2:11" s="168" customFormat="1" ht="15.75" thickBot="1" x14ac:dyDescent="0.3">
      <c r="B30" s="449" t="s">
        <v>344</v>
      </c>
      <c r="C30" s="450">
        <f>+C23+C27</f>
        <v>705869</v>
      </c>
      <c r="D30" s="450">
        <f t="shared" ref="D30:E30" si="7">+D23+D27</f>
        <v>0</v>
      </c>
      <c r="E30" s="450">
        <f t="shared" si="7"/>
        <v>705869</v>
      </c>
      <c r="F30" s="178" t="s">
        <v>344</v>
      </c>
      <c r="G30" s="179">
        <f>+G28+G23</f>
        <v>540420</v>
      </c>
      <c r="H30" s="179">
        <f t="shared" ref="H30:I30" si="8">+H28+H23</f>
        <v>33435</v>
      </c>
      <c r="I30" s="179">
        <f t="shared" si="8"/>
        <v>573855</v>
      </c>
      <c r="J30" s="154"/>
      <c r="K30" s="147"/>
    </row>
    <row r="31" spans="2:11" ht="15.75" thickBot="1" x14ac:dyDescent="0.3">
      <c r="B31" s="451" t="s">
        <v>278</v>
      </c>
      <c r="C31" s="452">
        <f>C19+C30</f>
        <v>2047567</v>
      </c>
      <c r="D31" s="452">
        <f t="shared" ref="D31:E31" si="9">D19+D30</f>
        <v>14407</v>
      </c>
      <c r="E31" s="452">
        <f t="shared" si="9"/>
        <v>2061974</v>
      </c>
      <c r="F31" s="180" t="s">
        <v>278</v>
      </c>
      <c r="G31" s="460">
        <f>G19+G30</f>
        <v>2047567</v>
      </c>
      <c r="H31" s="460">
        <f t="shared" ref="H31:I31" si="10">H19+H30</f>
        <v>14407</v>
      </c>
      <c r="I31" s="460">
        <f t="shared" si="10"/>
        <v>2061974</v>
      </c>
      <c r="J31" s="147"/>
      <c r="K31" s="604"/>
    </row>
    <row r="32" spans="2:11" ht="15" x14ac:dyDescent="0.25">
      <c r="B32" s="181"/>
      <c r="C32" s="448"/>
      <c r="D32" s="182"/>
      <c r="E32" s="182"/>
      <c r="F32" s="181"/>
      <c r="G32" s="181"/>
      <c r="H32" s="181"/>
      <c r="I32" s="181"/>
      <c r="J32" s="147"/>
      <c r="K32" s="147"/>
    </row>
    <row r="33" spans="2:11" ht="15" x14ac:dyDescent="0.25">
      <c r="B33" s="184"/>
      <c r="C33" s="183"/>
      <c r="D33" s="183"/>
      <c r="E33" s="183"/>
      <c r="F33" s="183"/>
      <c r="G33" s="183"/>
      <c r="H33" s="183"/>
      <c r="I33" s="183"/>
      <c r="J33" s="147"/>
      <c r="K33" s="147"/>
    </row>
    <row r="34" spans="2:11" ht="15" x14ac:dyDescent="0.25">
      <c r="B34" s="147"/>
      <c r="C34" s="183"/>
      <c r="D34" s="183"/>
      <c r="E34" s="183"/>
      <c r="F34" s="183"/>
      <c r="G34" s="183"/>
      <c r="H34" s="183"/>
      <c r="I34" s="147"/>
      <c r="J34" s="147"/>
      <c r="K34" s="147"/>
    </row>
    <row r="35" spans="2:11" ht="15" x14ac:dyDescent="0.25"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2:11" ht="12.75" customHeight="1" x14ac:dyDescent="0.25">
      <c r="B36" s="147"/>
      <c r="C36" s="183"/>
      <c r="D36" s="183"/>
      <c r="E36" s="183"/>
      <c r="F36" s="147"/>
      <c r="G36" s="147"/>
      <c r="H36" s="147"/>
      <c r="I36" s="18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2021.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D83" sqref="D83"/>
    </sheetView>
  </sheetViews>
  <sheetFormatPr defaultRowHeight="15" x14ac:dyDescent="0.25"/>
  <cols>
    <col min="1" max="1" width="5.5703125" bestFit="1" customWidth="1"/>
    <col min="2" max="2" width="53.7109375" customWidth="1"/>
    <col min="4" max="4" width="6.7109375" customWidth="1"/>
  </cols>
  <sheetData>
    <row r="1" spans="1:22" ht="15" customHeight="1" x14ac:dyDescent="0.25">
      <c r="A1" s="1447" t="s">
        <v>345</v>
      </c>
      <c r="B1" s="1449" t="s">
        <v>686</v>
      </c>
      <c r="C1" s="1452" t="s">
        <v>306</v>
      </c>
      <c r="D1" s="1452"/>
      <c r="E1" s="1452"/>
      <c r="F1" s="1452"/>
      <c r="G1" s="1452"/>
      <c r="H1" s="1452"/>
      <c r="I1" s="1452"/>
      <c r="J1" s="1452"/>
      <c r="K1" s="1453" t="s">
        <v>285</v>
      </c>
      <c r="L1" s="1452" t="s">
        <v>299</v>
      </c>
      <c r="M1" s="1452"/>
      <c r="N1" s="1452"/>
      <c r="O1" s="1452"/>
      <c r="P1" s="1452"/>
      <c r="Q1" s="1452"/>
      <c r="R1" s="1452"/>
      <c r="S1" s="1452"/>
      <c r="T1" s="1455"/>
      <c r="U1" s="1463" t="s">
        <v>687</v>
      </c>
      <c r="V1" s="1456" t="s">
        <v>710</v>
      </c>
    </row>
    <row r="2" spans="1:22" ht="31.5" customHeight="1" x14ac:dyDescent="0.25">
      <c r="A2" s="1448"/>
      <c r="B2" s="1450"/>
      <c r="C2" s="1458" t="s">
        <v>711</v>
      </c>
      <c r="D2" s="1458" t="s">
        <v>712</v>
      </c>
      <c r="E2" s="1458" t="s">
        <v>151</v>
      </c>
      <c r="F2" s="1458" t="s">
        <v>163</v>
      </c>
      <c r="G2" s="1459"/>
      <c r="H2" s="1458" t="s">
        <v>691</v>
      </c>
      <c r="I2" s="1458" t="s">
        <v>642</v>
      </c>
      <c r="J2" s="1458" t="s">
        <v>713</v>
      </c>
      <c r="K2" s="1454"/>
      <c r="L2" s="1458" t="s">
        <v>699</v>
      </c>
      <c r="M2" s="1458" t="s">
        <v>700</v>
      </c>
      <c r="N2" s="1458" t="s">
        <v>695</v>
      </c>
      <c r="O2" s="1458" t="s">
        <v>714</v>
      </c>
      <c r="P2" s="1459"/>
      <c r="Q2" s="1460" t="s">
        <v>715</v>
      </c>
      <c r="R2" s="1458" t="s">
        <v>716</v>
      </c>
      <c r="S2" s="1459"/>
      <c r="T2" s="1460" t="s">
        <v>724</v>
      </c>
      <c r="U2" s="1464"/>
      <c r="V2" s="1457"/>
    </row>
    <row r="3" spans="1:22" ht="25.5" customHeight="1" x14ac:dyDescent="0.25">
      <c r="A3" s="1448"/>
      <c r="B3" s="1451"/>
      <c r="C3" s="1458"/>
      <c r="D3" s="1458"/>
      <c r="E3" s="1458"/>
      <c r="F3" s="983" t="s">
        <v>708</v>
      </c>
      <c r="G3" s="983" t="s">
        <v>709</v>
      </c>
      <c r="H3" s="1458"/>
      <c r="I3" s="1458"/>
      <c r="J3" s="1458"/>
      <c r="K3" s="1454"/>
      <c r="L3" s="1458"/>
      <c r="M3" s="1458"/>
      <c r="N3" s="1458"/>
      <c r="O3" s="983" t="s">
        <v>717</v>
      </c>
      <c r="P3" s="983" t="s">
        <v>718</v>
      </c>
      <c r="Q3" s="1461"/>
      <c r="R3" s="983" t="s">
        <v>717</v>
      </c>
      <c r="S3" s="983" t="s">
        <v>718</v>
      </c>
      <c r="T3" s="1462"/>
      <c r="U3" s="1464"/>
      <c r="V3" s="1457"/>
    </row>
    <row r="4" spans="1:22" ht="17.25" customHeight="1" x14ac:dyDescent="0.25">
      <c r="A4" s="982" t="s">
        <v>305</v>
      </c>
      <c r="B4" s="685" t="s">
        <v>1081</v>
      </c>
      <c r="C4" s="680">
        <f>580+181+507</f>
        <v>1268</v>
      </c>
      <c r="D4" s="680">
        <f>90+33+78</f>
        <v>201</v>
      </c>
      <c r="E4" s="686"/>
      <c r="F4" s="680"/>
      <c r="G4" s="680"/>
      <c r="H4" s="680"/>
      <c r="I4" s="680"/>
      <c r="J4" s="680"/>
      <c r="K4" s="681">
        <f>SUM(C4:J4)</f>
        <v>1469</v>
      </c>
      <c r="L4" s="680"/>
      <c r="M4" s="680">
        <f>670+214+585</f>
        <v>1469</v>
      </c>
      <c r="N4" s="680"/>
      <c r="O4" s="680"/>
      <c r="P4" s="680"/>
      <c r="Q4" s="680"/>
      <c r="R4" s="680"/>
      <c r="S4" s="680"/>
      <c r="T4" s="682"/>
      <c r="U4" s="918"/>
      <c r="V4" s="683">
        <f>SUM(L4:U4)</f>
        <v>1469</v>
      </c>
    </row>
    <row r="5" spans="1:22" x14ac:dyDescent="0.25">
      <c r="A5" s="982" t="s">
        <v>393</v>
      </c>
      <c r="B5" s="685" t="s">
        <v>1082</v>
      </c>
      <c r="C5" s="680"/>
      <c r="D5" s="680"/>
      <c r="E5" s="686">
        <v>70</v>
      </c>
      <c r="F5" s="680"/>
      <c r="G5" s="680"/>
      <c r="H5" s="680"/>
      <c r="I5" s="680"/>
      <c r="J5" s="680"/>
      <c r="K5" s="681">
        <f t="shared" ref="K5:K13" si="0">SUM(C5:J5)</f>
        <v>70</v>
      </c>
      <c r="L5" s="680"/>
      <c r="M5" s="680">
        <v>70</v>
      </c>
      <c r="N5" s="680"/>
      <c r="O5" s="680"/>
      <c r="P5" s="680"/>
      <c r="Q5" s="680"/>
      <c r="R5" s="680"/>
      <c r="S5" s="680"/>
      <c r="T5" s="682"/>
      <c r="U5" s="918"/>
      <c r="V5" s="683">
        <f t="shared" ref="V5:V13" si="1">SUM(L5:U5)</f>
        <v>70</v>
      </c>
    </row>
    <row r="6" spans="1:22" x14ac:dyDescent="0.25">
      <c r="A6" s="982" t="s">
        <v>449</v>
      </c>
      <c r="B6" s="685"/>
      <c r="C6" s="680"/>
      <c r="D6" s="680"/>
      <c r="E6" s="686"/>
      <c r="F6" s="680"/>
      <c r="G6" s="680"/>
      <c r="H6" s="680"/>
      <c r="I6" s="680"/>
      <c r="J6" s="680"/>
      <c r="K6" s="681">
        <f t="shared" si="0"/>
        <v>0</v>
      </c>
      <c r="L6" s="680"/>
      <c r="M6" s="680"/>
      <c r="N6" s="680"/>
      <c r="O6" s="680"/>
      <c r="P6" s="680"/>
      <c r="Q6" s="680"/>
      <c r="R6" s="680"/>
      <c r="S6" s="680"/>
      <c r="T6" s="682"/>
      <c r="U6" s="918"/>
      <c r="V6" s="683">
        <f t="shared" si="1"/>
        <v>0</v>
      </c>
    </row>
    <row r="7" spans="1:22" x14ac:dyDescent="0.25">
      <c r="A7" s="982" t="s">
        <v>450</v>
      </c>
      <c r="B7" s="685"/>
      <c r="C7" s="680"/>
      <c r="D7" s="680"/>
      <c r="E7" s="686"/>
      <c r="F7" s="680"/>
      <c r="G7" s="680"/>
      <c r="H7" s="680"/>
      <c r="I7" s="680"/>
      <c r="J7" s="680"/>
      <c r="K7" s="681">
        <f t="shared" si="0"/>
        <v>0</v>
      </c>
      <c r="L7" s="680"/>
      <c r="M7" s="680"/>
      <c r="N7" s="680"/>
      <c r="O7" s="680"/>
      <c r="P7" s="680"/>
      <c r="Q7" s="680"/>
      <c r="R7" s="680"/>
      <c r="S7" s="680"/>
      <c r="T7" s="682"/>
      <c r="U7" s="918"/>
      <c r="V7" s="683">
        <f t="shared" si="1"/>
        <v>0</v>
      </c>
    </row>
    <row r="8" spans="1:22" x14ac:dyDescent="0.25">
      <c r="A8" s="982" t="s">
        <v>451</v>
      </c>
      <c r="B8" s="678"/>
      <c r="C8" s="686"/>
      <c r="D8" s="686"/>
      <c r="E8" s="686"/>
      <c r="F8" s="686"/>
      <c r="G8" s="686"/>
      <c r="H8" s="686"/>
      <c r="I8" s="686"/>
      <c r="J8" s="686"/>
      <c r="K8" s="681">
        <f t="shared" si="0"/>
        <v>0</v>
      </c>
      <c r="L8" s="686"/>
      <c r="M8" s="686"/>
      <c r="N8" s="686"/>
      <c r="O8" s="686"/>
      <c r="P8" s="686"/>
      <c r="Q8" s="686"/>
      <c r="R8" s="686"/>
      <c r="S8" s="686"/>
      <c r="T8" s="687"/>
      <c r="U8" s="679"/>
      <c r="V8" s="683">
        <f t="shared" si="1"/>
        <v>0</v>
      </c>
    </row>
    <row r="9" spans="1:22" x14ac:dyDescent="0.25">
      <c r="A9" s="982" t="s">
        <v>452</v>
      </c>
      <c r="B9" s="685"/>
      <c r="C9" s="686"/>
      <c r="D9" s="686"/>
      <c r="E9" s="686"/>
      <c r="F9" s="686"/>
      <c r="G9" s="686"/>
      <c r="H9" s="686"/>
      <c r="I9" s="686"/>
      <c r="J9" s="686"/>
      <c r="K9" s="681">
        <f t="shared" si="0"/>
        <v>0</v>
      </c>
      <c r="L9" s="686"/>
      <c r="M9" s="686"/>
      <c r="N9" s="686"/>
      <c r="O9" s="686"/>
      <c r="P9" s="686"/>
      <c r="Q9" s="686"/>
      <c r="R9" s="686"/>
      <c r="S9" s="686"/>
      <c r="T9" s="687"/>
      <c r="U9" s="679"/>
      <c r="V9" s="683">
        <f t="shared" si="1"/>
        <v>0</v>
      </c>
    </row>
    <row r="10" spans="1:22" ht="12.75" customHeight="1" x14ac:dyDescent="0.25">
      <c r="A10" s="982" t="s">
        <v>453</v>
      </c>
      <c r="B10" s="685"/>
      <c r="C10" s="686"/>
      <c r="D10" s="686"/>
      <c r="E10" s="686"/>
      <c r="F10" s="686"/>
      <c r="G10" s="686"/>
      <c r="H10" s="686"/>
      <c r="I10" s="686"/>
      <c r="J10" s="686"/>
      <c r="K10" s="681">
        <f t="shared" si="0"/>
        <v>0</v>
      </c>
      <c r="L10" s="686"/>
      <c r="M10" s="686"/>
      <c r="N10" s="686"/>
      <c r="O10" s="686"/>
      <c r="P10" s="686"/>
      <c r="Q10" s="686"/>
      <c r="R10" s="686"/>
      <c r="S10" s="686"/>
      <c r="T10" s="687"/>
      <c r="U10" s="679"/>
      <c r="V10" s="683">
        <f t="shared" si="1"/>
        <v>0</v>
      </c>
    </row>
    <row r="11" spans="1:22" ht="12.75" customHeight="1" x14ac:dyDescent="0.25">
      <c r="A11" s="982" t="s">
        <v>454</v>
      </c>
      <c r="B11" s="685"/>
      <c r="C11" s="686"/>
      <c r="D11" s="686"/>
      <c r="E11" s="686"/>
      <c r="F11" s="686"/>
      <c r="G11" s="686"/>
      <c r="H11" s="686"/>
      <c r="I11" s="686"/>
      <c r="J11" s="686"/>
      <c r="K11" s="681">
        <f t="shared" si="0"/>
        <v>0</v>
      </c>
      <c r="L11" s="686"/>
      <c r="M11" s="686"/>
      <c r="N11" s="686"/>
      <c r="O11" s="686"/>
      <c r="P11" s="686"/>
      <c r="Q11" s="686"/>
      <c r="R11" s="686"/>
      <c r="S11" s="686"/>
      <c r="T11" s="687"/>
      <c r="U11" s="679"/>
      <c r="V11" s="683">
        <f t="shared" si="1"/>
        <v>0</v>
      </c>
    </row>
    <row r="12" spans="1:22" ht="12.75" customHeight="1" x14ac:dyDescent="0.25">
      <c r="A12" s="982"/>
      <c r="B12" s="685"/>
      <c r="C12" s="686"/>
      <c r="D12" s="686"/>
      <c r="E12" s="686"/>
      <c r="F12" s="686"/>
      <c r="G12" s="686"/>
      <c r="H12" s="686"/>
      <c r="I12" s="686"/>
      <c r="J12" s="686"/>
      <c r="K12" s="681">
        <f t="shared" si="0"/>
        <v>0</v>
      </c>
      <c r="L12" s="686"/>
      <c r="M12" s="686"/>
      <c r="N12" s="686"/>
      <c r="O12" s="686"/>
      <c r="P12" s="686"/>
      <c r="Q12" s="686"/>
      <c r="R12" s="686"/>
      <c r="S12" s="686"/>
      <c r="T12" s="687"/>
      <c r="U12" s="679"/>
      <c r="V12" s="683">
        <f t="shared" si="1"/>
        <v>0</v>
      </c>
    </row>
    <row r="13" spans="1:22" ht="12.75" customHeight="1" x14ac:dyDescent="0.25">
      <c r="A13" s="982"/>
      <c r="B13" s="685"/>
      <c r="C13" s="686"/>
      <c r="D13" s="686"/>
      <c r="E13" s="686"/>
      <c r="F13" s="686"/>
      <c r="G13" s="686"/>
      <c r="H13" s="686"/>
      <c r="I13" s="686"/>
      <c r="J13" s="686"/>
      <c r="K13" s="681">
        <f t="shared" si="0"/>
        <v>0</v>
      </c>
      <c r="L13" s="686"/>
      <c r="M13" s="686"/>
      <c r="N13" s="686"/>
      <c r="O13" s="686"/>
      <c r="P13" s="686"/>
      <c r="Q13" s="686"/>
      <c r="R13" s="686"/>
      <c r="S13" s="686"/>
      <c r="T13" s="687"/>
      <c r="U13" s="679"/>
      <c r="V13" s="681">
        <f t="shared" si="1"/>
        <v>0</v>
      </c>
    </row>
    <row r="14" spans="1:22" ht="12.75" customHeight="1" thickBot="1" x14ac:dyDescent="0.3">
      <c r="A14" s="666"/>
      <c r="B14" s="824" t="s">
        <v>180</v>
      </c>
      <c r="C14" s="825">
        <f>SUM(C4:C13)</f>
        <v>1268</v>
      </c>
      <c r="D14" s="825">
        <f>SUM(D4:D13)</f>
        <v>201</v>
      </c>
      <c r="E14" s="825">
        <f t="shared" ref="E14:J14" si="2">SUM(E4:E13)</f>
        <v>70</v>
      </c>
      <c r="F14" s="825">
        <f t="shared" si="2"/>
        <v>0</v>
      </c>
      <c r="G14" s="825">
        <f t="shared" si="2"/>
        <v>0</v>
      </c>
      <c r="H14" s="825">
        <f t="shared" si="2"/>
        <v>0</v>
      </c>
      <c r="I14" s="825">
        <f t="shared" si="2"/>
        <v>0</v>
      </c>
      <c r="J14" s="825">
        <f t="shared" si="2"/>
        <v>0</v>
      </c>
      <c r="K14" s="681">
        <f>C14+D14+E14++F14+G14+H14+I14+J14</f>
        <v>1539</v>
      </c>
      <c r="L14" s="825">
        <f>SUM(L4:L13)</f>
        <v>0</v>
      </c>
      <c r="M14" s="825">
        <f t="shared" ref="M14:V14" si="3">SUM(M4:M13)</f>
        <v>1539</v>
      </c>
      <c r="N14" s="825">
        <f t="shared" si="3"/>
        <v>0</v>
      </c>
      <c r="O14" s="825">
        <f t="shared" si="3"/>
        <v>0</v>
      </c>
      <c r="P14" s="825">
        <f t="shared" si="3"/>
        <v>0</v>
      </c>
      <c r="Q14" s="825">
        <f t="shared" si="3"/>
        <v>0</v>
      </c>
      <c r="R14" s="825">
        <f t="shared" si="3"/>
        <v>0</v>
      </c>
      <c r="S14" s="825">
        <f t="shared" si="3"/>
        <v>0</v>
      </c>
      <c r="T14" s="825">
        <f t="shared" si="3"/>
        <v>0</v>
      </c>
      <c r="U14" s="825">
        <f t="shared" si="3"/>
        <v>0</v>
      </c>
      <c r="V14" s="681">
        <f t="shared" si="3"/>
        <v>1539</v>
      </c>
    </row>
    <row r="15" spans="1:22" x14ac:dyDescent="0.25">
      <c r="A15" s="644"/>
      <c r="B15" s="644"/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</row>
  </sheetData>
  <mergeCells count="21">
    <mergeCell ref="A1:A3"/>
    <mergeCell ref="B1:B3"/>
    <mergeCell ref="C1:J1"/>
    <mergeCell ref="K1:K3"/>
    <mergeCell ref="L1:T1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U1:U3"/>
    <mergeCell ref="V1:V3"/>
    <mergeCell ref="Q2:Q3"/>
    <mergeCell ref="R2:S2"/>
    <mergeCell ref="T2:T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2021. évi költségvetés módosításainak részletezése
Polgármesteri Hivatal&amp;R&amp;"Times New Roman,Félkövér"&amp;12 3.2. számú tájékoztató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Normal="100" workbookViewId="0">
      <selection activeCell="D83" sqref="D83"/>
    </sheetView>
  </sheetViews>
  <sheetFormatPr defaultRowHeight="15" x14ac:dyDescent="0.25"/>
  <cols>
    <col min="1" max="1" width="4.7109375" customWidth="1"/>
    <col min="2" max="2" width="35.5703125" customWidth="1"/>
    <col min="4" max="4" width="6.7109375" customWidth="1"/>
  </cols>
  <sheetData>
    <row r="1" spans="1:22" ht="15" customHeight="1" x14ac:dyDescent="0.25">
      <c r="A1" s="1447" t="s">
        <v>345</v>
      </c>
      <c r="B1" s="1449" t="s">
        <v>686</v>
      </c>
      <c r="C1" s="1452" t="s">
        <v>306</v>
      </c>
      <c r="D1" s="1452"/>
      <c r="E1" s="1452"/>
      <c r="F1" s="1452"/>
      <c r="G1" s="1452"/>
      <c r="H1" s="1452"/>
      <c r="I1" s="1452"/>
      <c r="J1" s="1452"/>
      <c r="K1" s="1453" t="s">
        <v>285</v>
      </c>
      <c r="L1" s="1452" t="s">
        <v>299</v>
      </c>
      <c r="M1" s="1452"/>
      <c r="N1" s="1452"/>
      <c r="O1" s="1452"/>
      <c r="P1" s="1452"/>
      <c r="Q1" s="1452"/>
      <c r="R1" s="1452"/>
      <c r="S1" s="1452"/>
      <c r="T1" s="1455"/>
      <c r="U1" s="1463" t="s">
        <v>687</v>
      </c>
      <c r="V1" s="1456" t="s">
        <v>710</v>
      </c>
    </row>
    <row r="2" spans="1:22" ht="31.5" customHeight="1" x14ac:dyDescent="0.25">
      <c r="A2" s="1448"/>
      <c r="B2" s="1450"/>
      <c r="C2" s="1458" t="s">
        <v>711</v>
      </c>
      <c r="D2" s="1458" t="s">
        <v>712</v>
      </c>
      <c r="E2" s="1458" t="s">
        <v>151</v>
      </c>
      <c r="F2" s="1458" t="s">
        <v>163</v>
      </c>
      <c r="G2" s="1459"/>
      <c r="H2" s="1458" t="s">
        <v>691</v>
      </c>
      <c r="I2" s="1458" t="s">
        <v>642</v>
      </c>
      <c r="J2" s="1458" t="s">
        <v>713</v>
      </c>
      <c r="K2" s="1454"/>
      <c r="L2" s="1458" t="s">
        <v>699</v>
      </c>
      <c r="M2" s="1458" t="s">
        <v>700</v>
      </c>
      <c r="N2" s="1458" t="s">
        <v>695</v>
      </c>
      <c r="O2" s="1458" t="s">
        <v>714</v>
      </c>
      <c r="P2" s="1459"/>
      <c r="Q2" s="1460" t="s">
        <v>715</v>
      </c>
      <c r="R2" s="1458" t="s">
        <v>716</v>
      </c>
      <c r="S2" s="1459"/>
      <c r="T2" s="1460" t="s">
        <v>724</v>
      </c>
      <c r="U2" s="1464"/>
      <c r="V2" s="1457"/>
    </row>
    <row r="3" spans="1:22" ht="25.5" customHeight="1" x14ac:dyDescent="0.25">
      <c r="A3" s="1448"/>
      <c r="B3" s="1451"/>
      <c r="C3" s="1458"/>
      <c r="D3" s="1458"/>
      <c r="E3" s="1458"/>
      <c r="F3" s="983" t="s">
        <v>708</v>
      </c>
      <c r="G3" s="983" t="s">
        <v>709</v>
      </c>
      <c r="H3" s="1458"/>
      <c r="I3" s="1458"/>
      <c r="J3" s="1458"/>
      <c r="K3" s="1454"/>
      <c r="L3" s="1458"/>
      <c r="M3" s="1458"/>
      <c r="N3" s="1458"/>
      <c r="O3" s="983" t="s">
        <v>717</v>
      </c>
      <c r="P3" s="983" t="s">
        <v>718</v>
      </c>
      <c r="Q3" s="1461"/>
      <c r="R3" s="983" t="s">
        <v>717</v>
      </c>
      <c r="S3" s="983" t="s">
        <v>718</v>
      </c>
      <c r="T3" s="1462"/>
      <c r="U3" s="1464"/>
      <c r="V3" s="1457"/>
    </row>
    <row r="4" spans="1:22" x14ac:dyDescent="0.25">
      <c r="A4" s="982" t="s">
        <v>305</v>
      </c>
      <c r="B4" s="990" t="s">
        <v>1083</v>
      </c>
      <c r="C4" s="990">
        <f>187+182</f>
        <v>369</v>
      </c>
      <c r="D4" s="990">
        <f>29+28</f>
        <v>57</v>
      </c>
      <c r="E4" s="686"/>
      <c r="F4" s="680"/>
      <c r="G4" s="680"/>
      <c r="H4" s="680"/>
      <c r="I4" s="680"/>
      <c r="J4" s="680"/>
      <c r="K4" s="681">
        <f>SUM(C4:J4)</f>
        <v>426</v>
      </c>
      <c r="L4" s="680"/>
      <c r="M4" s="680"/>
      <c r="N4" s="680">
        <v>426</v>
      </c>
      <c r="O4" s="680"/>
      <c r="P4" s="680"/>
      <c r="Q4" s="680"/>
      <c r="R4" s="680"/>
      <c r="S4" s="680"/>
      <c r="T4" s="682"/>
      <c r="U4" s="918"/>
      <c r="V4" s="683">
        <f t="shared" ref="V4:V13" si="0">SUM(L4:U4)</f>
        <v>426</v>
      </c>
    </row>
    <row r="5" spans="1:22" x14ac:dyDescent="0.25">
      <c r="A5" s="982" t="s">
        <v>393</v>
      </c>
      <c r="B5" s="685"/>
      <c r="C5" s="680"/>
      <c r="D5" s="680"/>
      <c r="E5" s="686"/>
      <c r="F5" s="680"/>
      <c r="G5" s="680"/>
      <c r="H5" s="680"/>
      <c r="I5" s="680"/>
      <c r="J5" s="680"/>
      <c r="K5" s="681">
        <f t="shared" ref="K5:K13" si="1">SUM(C5:J5)</f>
        <v>0</v>
      </c>
      <c r="L5" s="680"/>
      <c r="M5" s="680"/>
      <c r="N5" s="680"/>
      <c r="O5" s="680"/>
      <c r="P5" s="680"/>
      <c r="Q5" s="680"/>
      <c r="R5" s="680"/>
      <c r="S5" s="680"/>
      <c r="T5" s="682"/>
      <c r="U5" s="918"/>
      <c r="V5" s="683">
        <f t="shared" si="0"/>
        <v>0</v>
      </c>
    </row>
    <row r="6" spans="1:22" x14ac:dyDescent="0.25">
      <c r="A6" s="982" t="s">
        <v>449</v>
      </c>
      <c r="B6" s="685"/>
      <c r="C6" s="680"/>
      <c r="D6" s="680"/>
      <c r="E6" s="686"/>
      <c r="F6" s="680"/>
      <c r="G6" s="680"/>
      <c r="H6" s="680"/>
      <c r="I6" s="680"/>
      <c r="J6" s="680"/>
      <c r="K6" s="681">
        <f t="shared" si="1"/>
        <v>0</v>
      </c>
      <c r="L6" s="680"/>
      <c r="M6" s="680"/>
      <c r="N6" s="680"/>
      <c r="O6" s="680"/>
      <c r="P6" s="680"/>
      <c r="Q6" s="680"/>
      <c r="R6" s="680"/>
      <c r="S6" s="680"/>
      <c r="T6" s="682"/>
      <c r="U6" s="918"/>
      <c r="V6" s="683">
        <f t="shared" si="0"/>
        <v>0</v>
      </c>
    </row>
    <row r="7" spans="1:22" x14ac:dyDescent="0.25">
      <c r="A7" s="982" t="s">
        <v>450</v>
      </c>
      <c r="B7" s="678"/>
      <c r="C7" s="686"/>
      <c r="D7" s="686"/>
      <c r="E7" s="686"/>
      <c r="F7" s="686"/>
      <c r="G7" s="686"/>
      <c r="H7" s="686"/>
      <c r="I7" s="686"/>
      <c r="J7" s="686"/>
      <c r="K7" s="681">
        <f t="shared" si="1"/>
        <v>0</v>
      </c>
      <c r="L7" s="686"/>
      <c r="M7" s="686"/>
      <c r="N7" s="686"/>
      <c r="O7" s="686"/>
      <c r="P7" s="686"/>
      <c r="Q7" s="686"/>
      <c r="R7" s="686"/>
      <c r="S7" s="686"/>
      <c r="T7" s="687"/>
      <c r="U7" s="679"/>
      <c r="V7" s="683">
        <f t="shared" si="0"/>
        <v>0</v>
      </c>
    </row>
    <row r="8" spans="1:22" x14ac:dyDescent="0.25">
      <c r="A8" s="982" t="s">
        <v>451</v>
      </c>
      <c r="B8" s="678"/>
      <c r="C8" s="686"/>
      <c r="D8" s="686"/>
      <c r="E8" s="686"/>
      <c r="F8" s="686"/>
      <c r="G8" s="686"/>
      <c r="H8" s="686"/>
      <c r="I8" s="686"/>
      <c r="J8" s="686"/>
      <c r="K8" s="681">
        <f t="shared" si="1"/>
        <v>0</v>
      </c>
      <c r="L8" s="686"/>
      <c r="M8" s="686"/>
      <c r="N8" s="686"/>
      <c r="O8" s="686"/>
      <c r="P8" s="686"/>
      <c r="Q8" s="686"/>
      <c r="R8" s="686"/>
      <c r="S8" s="686"/>
      <c r="T8" s="687"/>
      <c r="U8" s="679"/>
      <c r="V8" s="683">
        <f t="shared" si="0"/>
        <v>0</v>
      </c>
    </row>
    <row r="9" spans="1:22" x14ac:dyDescent="0.25">
      <c r="A9" s="982" t="s">
        <v>452</v>
      </c>
      <c r="B9" s="685"/>
      <c r="C9" s="686"/>
      <c r="D9" s="686"/>
      <c r="E9" s="686"/>
      <c r="F9" s="686"/>
      <c r="G9" s="686"/>
      <c r="H9" s="686"/>
      <c r="I9" s="686"/>
      <c r="J9" s="686"/>
      <c r="K9" s="681">
        <f t="shared" si="1"/>
        <v>0</v>
      </c>
      <c r="L9" s="686"/>
      <c r="M9" s="686"/>
      <c r="N9" s="686"/>
      <c r="O9" s="686"/>
      <c r="P9" s="686"/>
      <c r="Q9" s="686"/>
      <c r="R9" s="686"/>
      <c r="S9" s="686"/>
      <c r="T9" s="687"/>
      <c r="U9" s="679"/>
      <c r="V9" s="683">
        <f t="shared" si="0"/>
        <v>0</v>
      </c>
    </row>
    <row r="10" spans="1:22" x14ac:dyDescent="0.25">
      <c r="A10" s="982" t="s">
        <v>453</v>
      </c>
      <c r="B10" s="685"/>
      <c r="C10" s="686"/>
      <c r="D10" s="686"/>
      <c r="E10" s="686"/>
      <c r="F10" s="686"/>
      <c r="G10" s="686"/>
      <c r="H10" s="686"/>
      <c r="I10" s="686"/>
      <c r="J10" s="686"/>
      <c r="K10" s="681">
        <f t="shared" si="1"/>
        <v>0</v>
      </c>
      <c r="L10" s="686"/>
      <c r="M10" s="686"/>
      <c r="N10" s="686"/>
      <c r="O10" s="686"/>
      <c r="P10" s="686"/>
      <c r="Q10" s="686"/>
      <c r="R10" s="686"/>
      <c r="S10" s="686"/>
      <c r="T10" s="687"/>
      <c r="U10" s="679"/>
      <c r="V10" s="683">
        <f t="shared" si="0"/>
        <v>0</v>
      </c>
    </row>
    <row r="11" spans="1:22" ht="14.45" customHeight="1" x14ac:dyDescent="0.25">
      <c r="A11" s="982" t="s">
        <v>454</v>
      </c>
      <c r="B11" s="685"/>
      <c r="C11" s="686"/>
      <c r="D11" s="686"/>
      <c r="E11" s="686"/>
      <c r="F11" s="686"/>
      <c r="G11" s="686"/>
      <c r="H11" s="686"/>
      <c r="I11" s="686"/>
      <c r="J11" s="686"/>
      <c r="K11" s="681">
        <f t="shared" si="1"/>
        <v>0</v>
      </c>
      <c r="L11" s="686"/>
      <c r="M11" s="686"/>
      <c r="N11" s="686"/>
      <c r="O11" s="686"/>
      <c r="P11" s="686"/>
      <c r="Q11" s="686"/>
      <c r="R11" s="686"/>
      <c r="S11" s="686"/>
      <c r="T11" s="687"/>
      <c r="U11" s="679"/>
      <c r="V11" s="683">
        <f t="shared" si="0"/>
        <v>0</v>
      </c>
    </row>
    <row r="12" spans="1:22" ht="14.45" customHeight="1" x14ac:dyDescent="0.25">
      <c r="A12" s="982"/>
      <c r="B12" s="685"/>
      <c r="C12" s="686"/>
      <c r="D12" s="686"/>
      <c r="E12" s="686"/>
      <c r="F12" s="686"/>
      <c r="G12" s="686"/>
      <c r="H12" s="686"/>
      <c r="I12" s="686"/>
      <c r="J12" s="686"/>
      <c r="K12" s="681">
        <f t="shared" si="1"/>
        <v>0</v>
      </c>
      <c r="L12" s="686"/>
      <c r="M12" s="686"/>
      <c r="N12" s="686"/>
      <c r="O12" s="686"/>
      <c r="P12" s="686"/>
      <c r="Q12" s="686"/>
      <c r="R12" s="686"/>
      <c r="S12" s="686"/>
      <c r="T12" s="687"/>
      <c r="U12" s="679"/>
      <c r="V12" s="683">
        <f t="shared" si="0"/>
        <v>0</v>
      </c>
    </row>
    <row r="13" spans="1:22" ht="14.45" customHeight="1" x14ac:dyDescent="0.25">
      <c r="A13" s="982"/>
      <c r="B13" s="685"/>
      <c r="C13" s="686"/>
      <c r="D13" s="686"/>
      <c r="E13" s="686"/>
      <c r="F13" s="686"/>
      <c r="G13" s="686"/>
      <c r="H13" s="686"/>
      <c r="I13" s="686"/>
      <c r="J13" s="686"/>
      <c r="K13" s="681">
        <f t="shared" si="1"/>
        <v>0</v>
      </c>
      <c r="L13" s="686"/>
      <c r="M13" s="686"/>
      <c r="N13" s="686"/>
      <c r="O13" s="686"/>
      <c r="P13" s="686"/>
      <c r="Q13" s="686"/>
      <c r="R13" s="686"/>
      <c r="S13" s="686"/>
      <c r="T13" s="687"/>
      <c r="U13" s="679"/>
      <c r="V13" s="681">
        <f t="shared" si="0"/>
        <v>0</v>
      </c>
    </row>
    <row r="14" spans="1:22" ht="15" customHeight="1" thickBot="1" x14ac:dyDescent="0.3">
      <c r="A14" s="666"/>
      <c r="B14" s="824" t="s">
        <v>180</v>
      </c>
      <c r="C14" s="825">
        <f>SUM(C4:C13)</f>
        <v>369</v>
      </c>
      <c r="D14" s="825">
        <f>SUM(D4:D13)</f>
        <v>57</v>
      </c>
      <c r="E14" s="825">
        <f t="shared" ref="E14:V14" si="2">SUM(E4:E13)</f>
        <v>0</v>
      </c>
      <c r="F14" s="825">
        <f t="shared" si="2"/>
        <v>0</v>
      </c>
      <c r="G14" s="825">
        <f t="shared" si="2"/>
        <v>0</v>
      </c>
      <c r="H14" s="825">
        <f t="shared" si="2"/>
        <v>0</v>
      </c>
      <c r="I14" s="825">
        <f t="shared" si="2"/>
        <v>0</v>
      </c>
      <c r="J14" s="825">
        <f t="shared" si="2"/>
        <v>0</v>
      </c>
      <c r="K14" s="681">
        <f t="shared" si="2"/>
        <v>426</v>
      </c>
      <c r="L14" s="825">
        <f t="shared" si="2"/>
        <v>0</v>
      </c>
      <c r="M14" s="825">
        <f t="shared" si="2"/>
        <v>0</v>
      </c>
      <c r="N14" s="825">
        <f t="shared" si="2"/>
        <v>426</v>
      </c>
      <c r="O14" s="825">
        <f t="shared" si="2"/>
        <v>0</v>
      </c>
      <c r="P14" s="825">
        <f t="shared" si="2"/>
        <v>0</v>
      </c>
      <c r="Q14" s="825">
        <f t="shared" si="2"/>
        <v>0</v>
      </c>
      <c r="R14" s="825">
        <f t="shared" si="2"/>
        <v>0</v>
      </c>
      <c r="S14" s="825">
        <f t="shared" si="2"/>
        <v>0</v>
      </c>
      <c r="T14" s="825">
        <f t="shared" si="2"/>
        <v>0</v>
      </c>
      <c r="U14" s="825">
        <f t="shared" si="2"/>
        <v>0</v>
      </c>
      <c r="V14" s="681">
        <f t="shared" si="2"/>
        <v>426</v>
      </c>
    </row>
    <row r="15" spans="1:22" ht="14.45" customHeight="1" x14ac:dyDescent="0.25">
      <c r="A15" s="644"/>
      <c r="B15" s="644"/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</row>
    <row r="16" spans="1:22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</sheetData>
  <mergeCells count="21">
    <mergeCell ref="U1:U3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A1:A3"/>
    <mergeCell ref="B1:B3"/>
    <mergeCell ref="C1:J1"/>
    <mergeCell ref="K1:K3"/>
    <mergeCell ref="L1:T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&amp;C&amp;"Times New Roman,Félkövér"&amp;12Martonvásár Város Önkormányzatának 2021. évi költségvetés módosításainak részletezése
Brunszvik Teréz Óvoda&amp;R&amp;"Times New Roman,Félkövér"&amp;12 3.3. számú tájékoztató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Normal="100" workbookViewId="0">
      <selection activeCell="D69" sqref="D69"/>
    </sheetView>
  </sheetViews>
  <sheetFormatPr defaultColWidth="9.140625" defaultRowHeight="12.75" x14ac:dyDescent="0.2"/>
  <cols>
    <col min="1" max="1" width="6.28515625" style="69" customWidth="1"/>
    <col min="2" max="2" width="57" style="66" customWidth="1"/>
    <col min="3" max="3" width="12.85546875" style="66" customWidth="1"/>
    <col min="4" max="4" width="12.7109375" style="66" bestFit="1" customWidth="1"/>
    <col min="5" max="5" width="12.42578125" style="66" customWidth="1"/>
    <col min="6" max="16384" width="9.140625" style="66"/>
  </cols>
  <sheetData>
    <row r="1" spans="1:7" ht="15.75" x14ac:dyDescent="0.25">
      <c r="A1" s="1191"/>
      <c r="B1" s="1191"/>
      <c r="C1" s="1191"/>
      <c r="D1" s="1191"/>
      <c r="E1" s="1191"/>
      <c r="G1" s="403"/>
    </row>
    <row r="2" spans="1:7" ht="11.25" customHeight="1" x14ac:dyDescent="0.2">
      <c r="B2" s="291"/>
      <c r="C2" s="1194" t="s">
        <v>380</v>
      </c>
      <c r="D2" s="1194"/>
      <c r="E2" s="1194"/>
    </row>
    <row r="3" spans="1:7" s="62" customFormat="1" ht="15" customHeight="1" x14ac:dyDescent="0.25">
      <c r="A3" s="1192" t="s">
        <v>0</v>
      </c>
      <c r="B3" s="1192" t="s">
        <v>182</v>
      </c>
      <c r="C3" s="1193" t="s">
        <v>850</v>
      </c>
      <c r="D3" s="1193"/>
      <c r="E3" s="1193"/>
    </row>
    <row r="4" spans="1:7" s="63" customFormat="1" ht="25.5" x14ac:dyDescent="0.25">
      <c r="A4" s="1192"/>
      <c r="B4" s="1192"/>
      <c r="C4" s="947" t="s">
        <v>913</v>
      </c>
      <c r="D4" s="3" t="s">
        <v>684</v>
      </c>
      <c r="E4" s="984" t="s">
        <v>937</v>
      </c>
    </row>
    <row r="5" spans="1:7" s="65" customFormat="1" ht="12.75" customHeight="1" x14ac:dyDescent="0.2">
      <c r="A5" s="53" t="s">
        <v>194</v>
      </c>
      <c r="B5" s="13" t="s">
        <v>193</v>
      </c>
      <c r="C5" s="319">
        <v>164359</v>
      </c>
      <c r="D5" s="319"/>
      <c r="E5" s="319">
        <f t="shared" ref="E5:E69" si="0">+C5+D5</f>
        <v>164359</v>
      </c>
    </row>
    <row r="6" spans="1:7" s="65" customFormat="1" ht="12.75" customHeight="1" x14ac:dyDescent="0.2">
      <c r="A6" s="53" t="s">
        <v>196</v>
      </c>
      <c r="B6" s="48" t="s">
        <v>195</v>
      </c>
      <c r="C6" s="319">
        <v>174309</v>
      </c>
      <c r="D6" s="319">
        <v>2287</v>
      </c>
      <c r="E6" s="319">
        <f t="shared" si="0"/>
        <v>176596</v>
      </c>
    </row>
    <row r="7" spans="1:7" s="65" customFormat="1" ht="12.75" customHeight="1" x14ac:dyDescent="0.2">
      <c r="A7" s="53" t="s">
        <v>198</v>
      </c>
      <c r="B7" s="48" t="s">
        <v>197</v>
      </c>
      <c r="C7" s="319">
        <v>217835</v>
      </c>
      <c r="D7" s="319">
        <f>-1460+2952</f>
        <v>1492</v>
      </c>
      <c r="E7" s="319">
        <f t="shared" si="0"/>
        <v>219327</v>
      </c>
    </row>
    <row r="8" spans="1:7" ht="12.75" customHeight="1" x14ac:dyDescent="0.2">
      <c r="A8" s="53" t="s">
        <v>200</v>
      </c>
      <c r="B8" s="48" t="s">
        <v>199</v>
      </c>
      <c r="C8" s="319">
        <v>12833</v>
      </c>
      <c r="D8" s="319"/>
      <c r="E8" s="319">
        <f t="shared" si="0"/>
        <v>12833</v>
      </c>
    </row>
    <row r="9" spans="1:7" s="67" customFormat="1" ht="12.75" customHeight="1" x14ac:dyDescent="0.2">
      <c r="A9" s="53" t="s">
        <v>201</v>
      </c>
      <c r="B9" s="48" t="s">
        <v>605</v>
      </c>
      <c r="C9" s="320">
        <v>56087</v>
      </c>
      <c r="D9" s="320"/>
      <c r="E9" s="319">
        <f t="shared" si="0"/>
        <v>56087</v>
      </c>
    </row>
    <row r="10" spans="1:7" s="67" customFormat="1" ht="12.75" customHeight="1" x14ac:dyDescent="0.2">
      <c r="A10" s="53" t="s">
        <v>202</v>
      </c>
      <c r="B10" s="48" t="s">
        <v>606</v>
      </c>
      <c r="C10" s="320">
        <v>5333</v>
      </c>
      <c r="D10" s="320"/>
      <c r="E10" s="319">
        <f t="shared" si="0"/>
        <v>5333</v>
      </c>
    </row>
    <row r="11" spans="1:7" ht="12.75" customHeight="1" x14ac:dyDescent="0.2">
      <c r="A11" s="60" t="s">
        <v>203</v>
      </c>
      <c r="B11" s="49" t="s">
        <v>328</v>
      </c>
      <c r="C11" s="321">
        <f>SUM(C5:C10)</f>
        <v>630756</v>
      </c>
      <c r="D11" s="321">
        <f>SUM(D5:D10)</f>
        <v>3779</v>
      </c>
      <c r="E11" s="321">
        <f t="shared" ref="E11" si="1">SUM(E5:E10)</f>
        <v>634535</v>
      </c>
    </row>
    <row r="12" spans="1:7" ht="12.75" customHeight="1" x14ac:dyDescent="0.2">
      <c r="A12" s="444" t="s">
        <v>205</v>
      </c>
      <c r="B12" s="49" t="s">
        <v>204</v>
      </c>
      <c r="C12" s="321">
        <f>SUM(C13:C22)</f>
        <v>46165</v>
      </c>
      <c r="D12" s="321">
        <f t="shared" ref="D12:E12" si="2">SUM(D13:D22)</f>
        <v>0</v>
      </c>
      <c r="E12" s="321">
        <f t="shared" si="2"/>
        <v>46165</v>
      </c>
    </row>
    <row r="13" spans="1:7" s="81" customFormat="1" ht="12.75" customHeight="1" x14ac:dyDescent="0.2">
      <c r="A13" s="78"/>
      <c r="B13" s="79" t="s">
        <v>329</v>
      </c>
      <c r="C13" s="322">
        <v>0</v>
      </c>
      <c r="D13" s="322"/>
      <c r="E13" s="319">
        <f t="shared" si="0"/>
        <v>0</v>
      </c>
    </row>
    <row r="14" spans="1:7" s="81" customFormat="1" ht="12.75" customHeight="1" x14ac:dyDescent="0.2">
      <c r="A14" s="78"/>
      <c r="B14" s="79" t="s">
        <v>319</v>
      </c>
      <c r="C14" s="322">
        <v>0</v>
      </c>
      <c r="D14" s="322"/>
      <c r="E14" s="319">
        <f t="shared" si="0"/>
        <v>0</v>
      </c>
    </row>
    <row r="15" spans="1:7" s="81" customFormat="1" ht="12.75" customHeight="1" x14ac:dyDescent="0.2">
      <c r="A15" s="78"/>
      <c r="B15" s="79" t="s">
        <v>320</v>
      </c>
      <c r="C15" s="322">
        <v>0</v>
      </c>
      <c r="D15" s="322"/>
      <c r="E15" s="319">
        <f t="shared" si="0"/>
        <v>0</v>
      </c>
    </row>
    <row r="16" spans="1:7" s="81" customFormat="1" ht="12.75" customHeight="1" x14ac:dyDescent="0.2">
      <c r="A16" s="78"/>
      <c r="B16" s="79" t="s">
        <v>321</v>
      </c>
      <c r="C16" s="322">
        <v>1360</v>
      </c>
      <c r="D16" s="322"/>
      <c r="E16" s="319">
        <f t="shared" si="0"/>
        <v>1360</v>
      </c>
    </row>
    <row r="17" spans="1:5" s="81" customFormat="1" ht="12.75" customHeight="1" x14ac:dyDescent="0.2">
      <c r="A17" s="78"/>
      <c r="B17" s="79" t="s">
        <v>322</v>
      </c>
      <c r="C17" s="322">
        <v>21456</v>
      </c>
      <c r="D17" s="322"/>
      <c r="E17" s="319">
        <f t="shared" si="0"/>
        <v>21456</v>
      </c>
    </row>
    <row r="18" spans="1:5" s="81" customFormat="1" ht="12.75" customHeight="1" x14ac:dyDescent="0.2">
      <c r="A18" s="78"/>
      <c r="B18" s="79" t="s">
        <v>323</v>
      </c>
      <c r="C18" s="322">
        <v>0</v>
      </c>
      <c r="D18" s="322"/>
      <c r="E18" s="319">
        <f t="shared" si="0"/>
        <v>0</v>
      </c>
    </row>
    <row r="19" spans="1:5" s="81" customFormat="1" ht="12.75" customHeight="1" x14ac:dyDescent="0.2">
      <c r="A19" s="78"/>
      <c r="B19" s="79" t="s">
        <v>99</v>
      </c>
      <c r="C19" s="322">
        <v>0</v>
      </c>
      <c r="D19" s="322"/>
      <c r="E19" s="319">
        <f t="shared" si="0"/>
        <v>0</v>
      </c>
    </row>
    <row r="20" spans="1:5" s="81" customFormat="1" ht="12.75" customHeight="1" x14ac:dyDescent="0.2">
      <c r="A20" s="78"/>
      <c r="B20" s="79" t="s">
        <v>100</v>
      </c>
      <c r="C20" s="322">
        <v>23349</v>
      </c>
      <c r="D20" s="322"/>
      <c r="E20" s="319">
        <f t="shared" si="0"/>
        <v>23349</v>
      </c>
    </row>
    <row r="21" spans="1:5" s="81" customFormat="1" ht="12.75" customHeight="1" x14ac:dyDescent="0.2">
      <c r="A21" s="78"/>
      <c r="B21" s="79" t="s">
        <v>324</v>
      </c>
      <c r="C21" s="322">
        <v>0</v>
      </c>
      <c r="D21" s="322"/>
      <c r="E21" s="319">
        <f t="shared" si="0"/>
        <v>0</v>
      </c>
    </row>
    <row r="22" spans="1:5" s="81" customFormat="1" ht="12.75" customHeight="1" x14ac:dyDescent="0.2">
      <c r="A22" s="78"/>
      <c r="B22" s="79" t="s">
        <v>325</v>
      </c>
      <c r="C22" s="322">
        <v>0</v>
      </c>
      <c r="D22" s="322"/>
      <c r="E22" s="319">
        <f t="shared" si="0"/>
        <v>0</v>
      </c>
    </row>
    <row r="23" spans="1:5" ht="12.75" customHeight="1" x14ac:dyDescent="0.2">
      <c r="A23" s="60" t="s">
        <v>206</v>
      </c>
      <c r="B23" s="49" t="s">
        <v>326</v>
      </c>
      <c r="C23" s="321">
        <f>C11+C12</f>
        <v>676921</v>
      </c>
      <c r="D23" s="321">
        <f t="shared" ref="D23:E23" si="3">+D11+D12</f>
        <v>3779</v>
      </c>
      <c r="E23" s="321">
        <f t="shared" si="3"/>
        <v>680700</v>
      </c>
    </row>
    <row r="24" spans="1:5" ht="12.75" customHeight="1" x14ac:dyDescent="0.2">
      <c r="A24" s="53" t="s">
        <v>381</v>
      </c>
      <c r="B24" s="48" t="s">
        <v>382</v>
      </c>
      <c r="C24" s="319"/>
      <c r="D24" s="319"/>
      <c r="E24" s="319"/>
    </row>
    <row r="25" spans="1:5" ht="12.75" customHeight="1" x14ac:dyDescent="0.2">
      <c r="A25" s="53" t="s">
        <v>373</v>
      </c>
      <c r="B25" s="48" t="s">
        <v>374</v>
      </c>
      <c r="C25" s="319"/>
      <c r="D25" s="319"/>
      <c r="E25" s="319">
        <f t="shared" si="0"/>
        <v>0</v>
      </c>
    </row>
    <row r="26" spans="1:5" ht="12.75" customHeight="1" x14ac:dyDescent="0.2">
      <c r="A26" s="53" t="s">
        <v>208</v>
      </c>
      <c r="B26" s="48" t="s">
        <v>207</v>
      </c>
      <c r="C26" s="319">
        <f>SUM(C27:C36)</f>
        <v>130953</v>
      </c>
      <c r="D26" s="319">
        <f>SUM(D27:D36)</f>
        <v>0</v>
      </c>
      <c r="E26" s="319">
        <f t="shared" si="0"/>
        <v>130953</v>
      </c>
    </row>
    <row r="27" spans="1:5" s="81" customFormat="1" ht="12.75" customHeight="1" x14ac:dyDescent="0.2">
      <c r="A27" s="78"/>
      <c r="B27" s="79" t="s">
        <v>318</v>
      </c>
      <c r="C27" s="322"/>
      <c r="D27" s="322"/>
      <c r="E27" s="319">
        <f t="shared" si="0"/>
        <v>0</v>
      </c>
    </row>
    <row r="28" spans="1:5" s="81" customFormat="1" ht="12.75" customHeight="1" x14ac:dyDescent="0.2">
      <c r="A28" s="78"/>
      <c r="B28" s="79" t="s">
        <v>319</v>
      </c>
      <c r="C28" s="322"/>
      <c r="D28" s="322"/>
      <c r="E28" s="319">
        <f t="shared" si="0"/>
        <v>0</v>
      </c>
    </row>
    <row r="29" spans="1:5" s="81" customFormat="1" ht="30.75" customHeight="1" x14ac:dyDescent="0.2">
      <c r="A29" s="78"/>
      <c r="B29" s="79" t="s">
        <v>320</v>
      </c>
      <c r="C29" s="322">
        <v>130953</v>
      </c>
      <c r="D29" s="322"/>
      <c r="E29" s="319">
        <f t="shared" si="0"/>
        <v>130953</v>
      </c>
    </row>
    <row r="30" spans="1:5" s="81" customFormat="1" ht="12.75" customHeight="1" x14ac:dyDescent="0.2">
      <c r="A30" s="78"/>
      <c r="B30" s="79" t="s">
        <v>321</v>
      </c>
      <c r="C30" s="322"/>
      <c r="D30" s="322"/>
      <c r="E30" s="319">
        <f t="shared" si="0"/>
        <v>0</v>
      </c>
    </row>
    <row r="31" spans="1:5" s="81" customFormat="1" ht="12.75" customHeight="1" x14ac:dyDescent="0.2">
      <c r="A31" s="78"/>
      <c r="B31" s="79" t="s">
        <v>322</v>
      </c>
      <c r="C31" s="322"/>
      <c r="D31" s="322"/>
      <c r="E31" s="319">
        <f t="shared" si="0"/>
        <v>0</v>
      </c>
    </row>
    <row r="32" spans="1:5" s="81" customFormat="1" ht="12.75" customHeight="1" x14ac:dyDescent="0.2">
      <c r="A32" s="78"/>
      <c r="B32" s="79" t="s">
        <v>323</v>
      </c>
      <c r="C32" s="322"/>
      <c r="D32" s="322"/>
      <c r="E32" s="319">
        <f t="shared" si="0"/>
        <v>0</v>
      </c>
    </row>
    <row r="33" spans="1:5" s="81" customFormat="1" ht="12.75" customHeight="1" x14ac:dyDescent="0.2">
      <c r="A33" s="78"/>
      <c r="B33" s="79" t="s">
        <v>99</v>
      </c>
      <c r="C33" s="322"/>
      <c r="D33" s="322"/>
      <c r="E33" s="319">
        <f t="shared" si="0"/>
        <v>0</v>
      </c>
    </row>
    <row r="34" spans="1:5" s="81" customFormat="1" ht="12.75" customHeight="1" x14ac:dyDescent="0.2">
      <c r="A34" s="78"/>
      <c r="B34" s="79" t="s">
        <v>100</v>
      </c>
      <c r="C34" s="322"/>
      <c r="D34" s="322"/>
      <c r="E34" s="319">
        <f t="shared" si="0"/>
        <v>0</v>
      </c>
    </row>
    <row r="35" spans="1:5" s="81" customFormat="1" ht="12.75" customHeight="1" x14ac:dyDescent="0.2">
      <c r="A35" s="78"/>
      <c r="B35" s="79" t="s">
        <v>324</v>
      </c>
      <c r="C35" s="322"/>
      <c r="D35" s="322"/>
      <c r="E35" s="319">
        <f t="shared" si="0"/>
        <v>0</v>
      </c>
    </row>
    <row r="36" spans="1:5" s="81" customFormat="1" ht="12.75" customHeight="1" x14ac:dyDescent="0.2">
      <c r="A36" s="78"/>
      <c r="B36" s="79" t="s">
        <v>325</v>
      </c>
      <c r="C36" s="322"/>
      <c r="D36" s="322"/>
      <c r="E36" s="319">
        <f t="shared" si="0"/>
        <v>0</v>
      </c>
    </row>
    <row r="37" spans="1:5" ht="12.75" customHeight="1" x14ac:dyDescent="0.2">
      <c r="A37" s="60" t="s">
        <v>209</v>
      </c>
      <c r="B37" s="49" t="s">
        <v>327</v>
      </c>
      <c r="C37" s="321">
        <f>C24+C25+C26</f>
        <v>130953</v>
      </c>
      <c r="D37" s="321">
        <f t="shared" ref="D37:E37" si="4">+D26+D25+D24</f>
        <v>0</v>
      </c>
      <c r="E37" s="321">
        <f t="shared" si="4"/>
        <v>130953</v>
      </c>
    </row>
    <row r="38" spans="1:5" ht="12.75" customHeight="1" x14ac:dyDescent="0.2">
      <c r="A38" s="53" t="s">
        <v>211</v>
      </c>
      <c r="B38" s="48" t="s">
        <v>210</v>
      </c>
      <c r="C38" s="319"/>
      <c r="D38" s="319"/>
      <c r="E38" s="319">
        <f t="shared" si="0"/>
        <v>0</v>
      </c>
    </row>
    <row r="39" spans="1:5" ht="12.75" customHeight="1" x14ac:dyDescent="0.2">
      <c r="A39" s="53" t="s">
        <v>213</v>
      </c>
      <c r="B39" s="48" t="s">
        <v>212</v>
      </c>
      <c r="C39" s="319"/>
      <c r="D39" s="319"/>
      <c r="E39" s="319">
        <f t="shared" si="0"/>
        <v>0</v>
      </c>
    </row>
    <row r="40" spans="1:5" s="69" customFormat="1" ht="12.75" customHeight="1" x14ac:dyDescent="0.2">
      <c r="A40" s="60" t="s">
        <v>214</v>
      </c>
      <c r="B40" s="49" t="s">
        <v>330</v>
      </c>
      <c r="C40" s="321">
        <f>SUM(C38:C39)</f>
        <v>0</v>
      </c>
      <c r="D40" s="319"/>
      <c r="E40" s="319">
        <f t="shared" si="0"/>
        <v>0</v>
      </c>
    </row>
    <row r="41" spans="1:5" ht="12.75" customHeight="1" x14ac:dyDescent="0.2">
      <c r="A41" s="53" t="s">
        <v>216</v>
      </c>
      <c r="B41" s="48" t="s">
        <v>215</v>
      </c>
      <c r="C41" s="319"/>
      <c r="D41" s="319"/>
      <c r="E41" s="319">
        <f t="shared" si="0"/>
        <v>0</v>
      </c>
    </row>
    <row r="42" spans="1:5" ht="12.75" customHeight="1" x14ac:dyDescent="0.2">
      <c r="A42" s="53" t="s">
        <v>218</v>
      </c>
      <c r="B42" s="48" t="s">
        <v>217</v>
      </c>
      <c r="C42" s="319"/>
      <c r="D42" s="319"/>
      <c r="E42" s="319">
        <f t="shared" si="0"/>
        <v>0</v>
      </c>
    </row>
    <row r="43" spans="1:5" ht="12.75" customHeight="1" x14ac:dyDescent="0.2">
      <c r="A43" s="60" t="s">
        <v>220</v>
      </c>
      <c r="B43" s="49" t="s">
        <v>219</v>
      </c>
      <c r="C43" s="321">
        <f>SUM(C44:C46)</f>
        <v>227443</v>
      </c>
      <c r="D43" s="321">
        <f>+D44+D45+D46</f>
        <v>0</v>
      </c>
      <c r="E43" s="321">
        <f t="shared" si="0"/>
        <v>227443</v>
      </c>
    </row>
    <row r="44" spans="1:5" ht="12.75" customHeight="1" x14ac:dyDescent="0.2">
      <c r="A44" s="53"/>
      <c r="B44" s="79" t="s">
        <v>365</v>
      </c>
      <c r="C44" s="322">
        <v>31000</v>
      </c>
      <c r="D44" s="319"/>
      <c r="E44" s="319">
        <f t="shared" si="0"/>
        <v>31000</v>
      </c>
    </row>
    <row r="45" spans="1:5" ht="12.75" customHeight="1" x14ac:dyDescent="0.2">
      <c r="A45" s="53"/>
      <c r="B45" s="79" t="s">
        <v>366</v>
      </c>
      <c r="C45" s="322">
        <v>141643</v>
      </c>
      <c r="D45" s="319"/>
      <c r="E45" s="319">
        <f t="shared" si="0"/>
        <v>141643</v>
      </c>
    </row>
    <row r="46" spans="1:5" ht="12.75" customHeight="1" x14ac:dyDescent="0.2">
      <c r="A46" s="53"/>
      <c r="B46" s="79" t="s">
        <v>367</v>
      </c>
      <c r="C46" s="322">
        <v>54800</v>
      </c>
      <c r="D46" s="319"/>
      <c r="E46" s="319">
        <f t="shared" si="0"/>
        <v>54800</v>
      </c>
    </row>
    <row r="47" spans="1:5" s="65" customFormat="1" ht="12.75" customHeight="1" x14ac:dyDescent="0.2">
      <c r="A47" s="483" t="s">
        <v>222</v>
      </c>
      <c r="B47" s="49" t="s">
        <v>221</v>
      </c>
      <c r="C47" s="321">
        <f>149600-52800</f>
        <v>96800</v>
      </c>
      <c r="D47" s="321"/>
      <c r="E47" s="321">
        <f t="shared" si="0"/>
        <v>96800</v>
      </c>
    </row>
    <row r="48" spans="1:5" ht="12.75" customHeight="1" x14ac:dyDescent="0.2">
      <c r="A48" s="53" t="s">
        <v>224</v>
      </c>
      <c r="B48" s="48" t="s">
        <v>223</v>
      </c>
      <c r="C48" s="319"/>
      <c r="D48" s="319"/>
      <c r="E48" s="319">
        <f t="shared" si="0"/>
        <v>0</v>
      </c>
    </row>
    <row r="49" spans="1:5" ht="12.75" customHeight="1" x14ac:dyDescent="0.2">
      <c r="A49" s="53" t="s">
        <v>226</v>
      </c>
      <c r="B49" s="48" t="s">
        <v>225</v>
      </c>
      <c r="C49" s="319"/>
      <c r="D49" s="319"/>
      <c r="E49" s="319">
        <f t="shared" si="0"/>
        <v>0</v>
      </c>
    </row>
    <row r="50" spans="1:5" ht="12.75" customHeight="1" x14ac:dyDescent="0.2">
      <c r="A50" s="53" t="s">
        <v>228</v>
      </c>
      <c r="B50" s="48" t="s">
        <v>227</v>
      </c>
      <c r="C50" s="929"/>
      <c r="D50" s="319"/>
      <c r="E50" s="319">
        <f t="shared" si="0"/>
        <v>0</v>
      </c>
    </row>
    <row r="51" spans="1:5" ht="12.75" customHeight="1" x14ac:dyDescent="0.2">
      <c r="A51" s="53" t="s">
        <v>230</v>
      </c>
      <c r="B51" s="48" t="s">
        <v>229</v>
      </c>
      <c r="C51" s="319"/>
      <c r="D51" s="319"/>
      <c r="E51" s="319">
        <f t="shared" si="0"/>
        <v>0</v>
      </c>
    </row>
    <row r="52" spans="1:5" ht="12.75" customHeight="1" x14ac:dyDescent="0.2">
      <c r="A52" s="60" t="s">
        <v>231</v>
      </c>
      <c r="B52" s="49" t="s">
        <v>331</v>
      </c>
      <c r="C52" s="321">
        <f>SUM(C47:C51)</f>
        <v>96800</v>
      </c>
      <c r="D52" s="321">
        <f>+D51+D50+D49+D48+D47</f>
        <v>0</v>
      </c>
      <c r="E52" s="321">
        <f t="shared" si="0"/>
        <v>96800</v>
      </c>
    </row>
    <row r="53" spans="1:5" ht="12.75" customHeight="1" x14ac:dyDescent="0.2">
      <c r="A53" s="60" t="s">
        <v>233</v>
      </c>
      <c r="B53" s="49" t="s">
        <v>232</v>
      </c>
      <c r="C53" s="321">
        <f>7500+20000+6244</f>
        <v>33744</v>
      </c>
      <c r="D53" s="321"/>
      <c r="E53" s="321">
        <f t="shared" si="0"/>
        <v>33744</v>
      </c>
    </row>
    <row r="54" spans="1:5" ht="12.75" customHeight="1" x14ac:dyDescent="0.2">
      <c r="A54" s="60" t="s">
        <v>234</v>
      </c>
      <c r="B54" s="49" t="s">
        <v>332</v>
      </c>
      <c r="C54" s="321">
        <f>C40+C43+C52+C53</f>
        <v>357987</v>
      </c>
      <c r="D54" s="321">
        <f t="shared" ref="D54:E54" si="5">+D53+D52+D40+D41+D42+D43</f>
        <v>0</v>
      </c>
      <c r="E54" s="321">
        <f t="shared" si="5"/>
        <v>357987</v>
      </c>
    </row>
    <row r="55" spans="1:5" ht="12.75" customHeight="1" x14ac:dyDescent="0.2">
      <c r="A55" s="53" t="s">
        <v>236</v>
      </c>
      <c r="B55" s="48" t="s">
        <v>235</v>
      </c>
      <c r="C55" s="319"/>
      <c r="D55" s="319"/>
      <c r="E55" s="319">
        <f t="shared" si="0"/>
        <v>0</v>
      </c>
    </row>
    <row r="56" spans="1:5" ht="12.75" customHeight="1" x14ac:dyDescent="0.2">
      <c r="A56" s="53" t="s">
        <v>238</v>
      </c>
      <c r="B56" s="48" t="s">
        <v>237</v>
      </c>
      <c r="C56" s="319">
        <v>26320</v>
      </c>
      <c r="D56" s="319"/>
      <c r="E56" s="319">
        <f t="shared" si="0"/>
        <v>26320</v>
      </c>
    </row>
    <row r="57" spans="1:5" ht="12.75" customHeight="1" x14ac:dyDescent="0.2">
      <c r="A57" s="53" t="s">
        <v>240</v>
      </c>
      <c r="B57" s="48" t="s">
        <v>239</v>
      </c>
      <c r="C57" s="319">
        <v>500</v>
      </c>
      <c r="D57" s="319">
        <v>300</v>
      </c>
      <c r="E57" s="319">
        <f t="shared" si="0"/>
        <v>800</v>
      </c>
    </row>
    <row r="58" spans="1:5" ht="12.75" customHeight="1" x14ac:dyDescent="0.2">
      <c r="A58" s="53" t="s">
        <v>242</v>
      </c>
      <c r="B58" s="48" t="s">
        <v>241</v>
      </c>
      <c r="C58" s="319">
        <v>32478</v>
      </c>
      <c r="D58" s="319"/>
      <c r="E58" s="319">
        <f t="shared" si="0"/>
        <v>32478</v>
      </c>
    </row>
    <row r="59" spans="1:5" ht="12.75" customHeight="1" x14ac:dyDescent="0.2">
      <c r="A59" s="53" t="s">
        <v>244</v>
      </c>
      <c r="B59" s="48" t="s">
        <v>243</v>
      </c>
      <c r="C59" s="319"/>
      <c r="D59" s="319"/>
      <c r="E59" s="319"/>
    </row>
    <row r="60" spans="1:5" ht="12.75" customHeight="1" x14ac:dyDescent="0.2">
      <c r="A60" s="53" t="s">
        <v>246</v>
      </c>
      <c r="B60" s="48" t="s">
        <v>245</v>
      </c>
      <c r="C60" s="319">
        <v>13804</v>
      </c>
      <c r="D60" s="319">
        <v>81</v>
      </c>
      <c r="E60" s="319">
        <f t="shared" si="0"/>
        <v>13885</v>
      </c>
    </row>
    <row r="61" spans="1:5" ht="12.75" customHeight="1" x14ac:dyDescent="0.2">
      <c r="A61" s="53" t="s">
        <v>248</v>
      </c>
      <c r="B61" s="48" t="s">
        <v>247</v>
      </c>
      <c r="C61" s="319">
        <v>6133</v>
      </c>
      <c r="D61" s="319"/>
      <c r="E61" s="319">
        <f t="shared" si="0"/>
        <v>6133</v>
      </c>
    </row>
    <row r="62" spans="1:5" ht="12.75" customHeight="1" x14ac:dyDescent="0.2">
      <c r="A62" s="53" t="s">
        <v>250</v>
      </c>
      <c r="B62" s="48" t="s">
        <v>249</v>
      </c>
      <c r="C62" s="319">
        <v>0</v>
      </c>
      <c r="D62" s="319"/>
      <c r="E62" s="319">
        <f t="shared" si="0"/>
        <v>0</v>
      </c>
    </row>
    <row r="63" spans="1:5" ht="12.75" customHeight="1" x14ac:dyDescent="0.2">
      <c r="A63" s="53" t="s">
        <v>252</v>
      </c>
      <c r="B63" s="48" t="s">
        <v>251</v>
      </c>
      <c r="C63" s="319">
        <v>0</v>
      </c>
      <c r="D63" s="319"/>
      <c r="E63" s="319">
        <f t="shared" si="0"/>
        <v>0</v>
      </c>
    </row>
    <row r="64" spans="1:5" ht="12.75" customHeight="1" x14ac:dyDescent="0.2">
      <c r="A64" s="53" t="s">
        <v>983</v>
      </c>
      <c r="B64" s="48" t="s">
        <v>982</v>
      </c>
      <c r="C64" s="319"/>
      <c r="D64" s="319">
        <v>708</v>
      </c>
      <c r="E64" s="319">
        <f t="shared" si="0"/>
        <v>708</v>
      </c>
    </row>
    <row r="65" spans="1:5" ht="12.75" customHeight="1" x14ac:dyDescent="0.2">
      <c r="A65" s="53" t="s">
        <v>604</v>
      </c>
      <c r="B65" s="48" t="s">
        <v>253</v>
      </c>
      <c r="C65" s="319">
        <v>1522</v>
      </c>
      <c r="D65" s="319"/>
      <c r="E65" s="319">
        <f t="shared" si="0"/>
        <v>1522</v>
      </c>
    </row>
    <row r="66" spans="1:5" ht="12.75" customHeight="1" x14ac:dyDescent="0.2">
      <c r="A66" s="60" t="s">
        <v>254</v>
      </c>
      <c r="B66" s="49" t="s">
        <v>277</v>
      </c>
      <c r="C66" s="321">
        <f>SUM(C55:C65)</f>
        <v>80757</v>
      </c>
      <c r="D66" s="321">
        <f t="shared" ref="D66:E66" si="6">SUM(D55:D65)</f>
        <v>1089</v>
      </c>
      <c r="E66" s="321">
        <f t="shared" si="6"/>
        <v>81846</v>
      </c>
    </row>
    <row r="67" spans="1:5" ht="12.75" customHeight="1" x14ac:dyDescent="0.2">
      <c r="A67" s="60" t="s">
        <v>255</v>
      </c>
      <c r="B67" s="49" t="s">
        <v>276</v>
      </c>
      <c r="C67" s="321">
        <v>10000</v>
      </c>
      <c r="D67" s="319"/>
      <c r="E67" s="321">
        <f t="shared" si="0"/>
        <v>10000</v>
      </c>
    </row>
    <row r="68" spans="1:5" ht="12.75" customHeight="1" x14ac:dyDescent="0.2">
      <c r="A68" s="53" t="s">
        <v>608</v>
      </c>
      <c r="B68" s="48" t="s">
        <v>495</v>
      </c>
      <c r="C68" s="319"/>
      <c r="D68" s="319"/>
      <c r="E68" s="319"/>
    </row>
    <row r="69" spans="1:5" ht="12.75" customHeight="1" x14ac:dyDescent="0.2">
      <c r="A69" s="53" t="s">
        <v>607</v>
      </c>
      <c r="B69" s="48" t="s">
        <v>256</v>
      </c>
      <c r="C69" s="319">
        <v>9508</v>
      </c>
      <c r="D69" s="319">
        <v>8000</v>
      </c>
      <c r="E69" s="319">
        <f t="shared" si="0"/>
        <v>17508</v>
      </c>
    </row>
    <row r="70" spans="1:5" ht="12.75" customHeight="1" x14ac:dyDescent="0.2">
      <c r="A70" s="60" t="s">
        <v>258</v>
      </c>
      <c r="B70" s="49" t="s">
        <v>275</v>
      </c>
      <c r="C70" s="321">
        <f>SUM(C68:C69)</f>
        <v>9508</v>
      </c>
      <c r="D70" s="321">
        <f t="shared" ref="D70:E70" si="7">+D69+D68</f>
        <v>8000</v>
      </c>
      <c r="E70" s="321">
        <f t="shared" si="7"/>
        <v>17508</v>
      </c>
    </row>
    <row r="71" spans="1:5" ht="12.75" customHeight="1" x14ac:dyDescent="0.2">
      <c r="A71" s="53" t="s">
        <v>609</v>
      </c>
      <c r="B71" s="48" t="s">
        <v>259</v>
      </c>
      <c r="C71" s="319"/>
      <c r="D71" s="319"/>
      <c r="E71" s="319">
        <f t="shared" ref="E71:E79" si="8">+C71+D71</f>
        <v>0</v>
      </c>
    </row>
    <row r="72" spans="1:5" ht="12.75" customHeight="1" x14ac:dyDescent="0.2">
      <c r="A72" s="60" t="s">
        <v>261</v>
      </c>
      <c r="B72" s="49" t="s">
        <v>280</v>
      </c>
      <c r="C72" s="321">
        <f>SUM(C71)</f>
        <v>0</v>
      </c>
      <c r="D72" s="321"/>
      <c r="E72" s="319">
        <f t="shared" si="8"/>
        <v>0</v>
      </c>
    </row>
    <row r="73" spans="1:5" ht="12.75" customHeight="1" x14ac:dyDescent="0.2">
      <c r="A73" s="60" t="s">
        <v>262</v>
      </c>
      <c r="B73" s="49" t="s">
        <v>273</v>
      </c>
      <c r="C73" s="321">
        <f>C23+C37+C54+C66+C67+C70+C72</f>
        <v>1266126</v>
      </c>
      <c r="D73" s="321">
        <f t="shared" ref="D73:E73" si="9">+D72+D70+D67+D66+D54+D37+D23</f>
        <v>12868</v>
      </c>
      <c r="E73" s="321">
        <f t="shared" si="9"/>
        <v>1278994</v>
      </c>
    </row>
    <row r="74" spans="1:5" ht="12.75" customHeight="1" x14ac:dyDescent="0.2">
      <c r="A74" s="52" t="s">
        <v>553</v>
      </c>
      <c r="B74" s="598" t="s">
        <v>552</v>
      </c>
      <c r="C74" s="319"/>
      <c r="D74" s="321"/>
      <c r="E74" s="321">
        <f t="shared" si="8"/>
        <v>0</v>
      </c>
    </row>
    <row r="75" spans="1:5" s="65" customFormat="1" ht="12.75" customHeight="1" x14ac:dyDescent="0.2">
      <c r="A75" s="52" t="s">
        <v>664</v>
      </c>
      <c r="B75" s="598" t="s">
        <v>663</v>
      </c>
      <c r="C75" s="321"/>
      <c r="D75" s="321"/>
      <c r="E75" s="321">
        <f t="shared" si="8"/>
        <v>0</v>
      </c>
    </row>
    <row r="76" spans="1:5" x14ac:dyDescent="0.2">
      <c r="A76" s="58" t="s">
        <v>270</v>
      </c>
      <c r="B76" s="48" t="s">
        <v>269</v>
      </c>
      <c r="C76" s="323">
        <v>760512</v>
      </c>
      <c r="D76" s="323">
        <f>+D77+D78</f>
        <v>0</v>
      </c>
      <c r="E76" s="319">
        <f t="shared" si="8"/>
        <v>760512</v>
      </c>
    </row>
    <row r="77" spans="1:5" s="81" customFormat="1" x14ac:dyDescent="0.2">
      <c r="A77" s="126"/>
      <c r="B77" s="105" t="s">
        <v>387</v>
      </c>
      <c r="C77" s="322">
        <v>195596</v>
      </c>
      <c r="D77" s="319"/>
      <c r="E77" s="319">
        <f t="shared" si="8"/>
        <v>195596</v>
      </c>
    </row>
    <row r="78" spans="1:5" s="81" customFormat="1" x14ac:dyDescent="0.2">
      <c r="A78" s="126"/>
      <c r="B78" s="105" t="s">
        <v>388</v>
      </c>
      <c r="C78" s="322">
        <v>564916</v>
      </c>
      <c r="D78" s="319"/>
      <c r="E78" s="319">
        <f t="shared" si="8"/>
        <v>564916</v>
      </c>
    </row>
    <row r="79" spans="1:5" x14ac:dyDescent="0.2">
      <c r="A79" s="59" t="s">
        <v>271</v>
      </c>
      <c r="B79" s="59" t="s">
        <v>333</v>
      </c>
      <c r="C79" s="321">
        <f>C76</f>
        <v>760512</v>
      </c>
      <c r="D79" s="321">
        <f>+D76</f>
        <v>0</v>
      </c>
      <c r="E79" s="321">
        <f t="shared" si="8"/>
        <v>760512</v>
      </c>
    </row>
    <row r="80" spans="1:5" x14ac:dyDescent="0.2">
      <c r="A80" s="59" t="s">
        <v>272</v>
      </c>
      <c r="B80" s="52" t="s">
        <v>334</v>
      </c>
      <c r="C80" s="321">
        <f>C75+C79</f>
        <v>760512</v>
      </c>
      <c r="D80" s="321">
        <f t="shared" ref="D80:E80" si="10">+D79+D75</f>
        <v>0</v>
      </c>
      <c r="E80" s="321">
        <f t="shared" si="10"/>
        <v>760512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2" orientation="portrait" cellComments="asDisplayed" errors="blank" r:id="rId1"/>
  <headerFooter>
    <oddHeader>&amp;C&amp;"Times New Roman,Félkövér"&amp;12Martonvásár Város Önkormányzatának bevételei 2021.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workbookViewId="0">
      <selection activeCell="C47" sqref="C47"/>
    </sheetView>
  </sheetViews>
  <sheetFormatPr defaultColWidth="9.140625" defaultRowHeight="15" x14ac:dyDescent="0.25"/>
  <cols>
    <col min="1" max="1" width="43.42578125" style="376" customWidth="1"/>
    <col min="2" max="2" width="15.42578125" style="376" customWidth="1"/>
    <col min="3" max="3" width="13" style="376" customWidth="1"/>
    <col min="4" max="4" width="14.42578125" style="1018" customWidth="1"/>
    <col min="5" max="16384" width="9.140625" style="376"/>
  </cols>
  <sheetData>
    <row r="1" spans="1:4" ht="15.75" thickBot="1" x14ac:dyDescent="0.3">
      <c r="D1" s="998" t="s">
        <v>380</v>
      </c>
    </row>
    <row r="2" spans="1:4" x14ac:dyDescent="0.25">
      <c r="A2" s="1195" t="s">
        <v>511</v>
      </c>
      <c r="B2" s="1196"/>
      <c r="C2" s="1197"/>
      <c r="D2" s="1198"/>
    </row>
    <row r="3" spans="1:4" ht="15.75" thickBot="1" x14ac:dyDescent="0.3">
      <c r="A3" s="547"/>
      <c r="B3" s="548"/>
      <c r="C3" s="549"/>
      <c r="D3" s="999"/>
    </row>
    <row r="4" spans="1:4" s="404" customFormat="1" ht="27.75" customHeight="1" x14ac:dyDescent="0.25">
      <c r="A4" s="817" t="s">
        <v>279</v>
      </c>
      <c r="B4" s="954" t="s">
        <v>914</v>
      </c>
      <c r="C4" s="630" t="s">
        <v>684</v>
      </c>
      <c r="D4" s="1000" t="s">
        <v>938</v>
      </c>
    </row>
    <row r="5" spans="1:4" x14ac:dyDescent="0.25">
      <c r="A5" s="377" t="s">
        <v>613</v>
      </c>
      <c r="B5" s="930">
        <v>1080</v>
      </c>
      <c r="C5" s="493"/>
      <c r="D5" s="1001">
        <f>B5+C5</f>
        <v>1080</v>
      </c>
    </row>
    <row r="6" spans="1:4" x14ac:dyDescent="0.25">
      <c r="A6" s="377" t="s">
        <v>614</v>
      </c>
      <c r="B6" s="930">
        <v>0</v>
      </c>
      <c r="C6" s="493"/>
      <c r="D6" s="1001">
        <f t="shared" ref="D6:D12" si="0">B6+C6</f>
        <v>0</v>
      </c>
    </row>
    <row r="7" spans="1:4" x14ac:dyDescent="0.25">
      <c r="A7" s="377" t="s">
        <v>795</v>
      </c>
      <c r="B7" s="930">
        <v>0</v>
      </c>
      <c r="C7" s="493"/>
      <c r="D7" s="1001">
        <f t="shared" si="0"/>
        <v>0</v>
      </c>
    </row>
    <row r="8" spans="1:4" x14ac:dyDescent="0.25">
      <c r="A8" s="377" t="s">
        <v>793</v>
      </c>
      <c r="B8" s="931">
        <v>23349</v>
      </c>
      <c r="C8" s="496"/>
      <c r="D8" s="1001">
        <f t="shared" si="0"/>
        <v>23349</v>
      </c>
    </row>
    <row r="9" spans="1:4" x14ac:dyDescent="0.25">
      <c r="A9" s="377" t="s">
        <v>615</v>
      </c>
      <c r="B9" s="848">
        <v>21456</v>
      </c>
      <c r="C9" s="496"/>
      <c r="D9" s="1001">
        <f t="shared" si="0"/>
        <v>21456</v>
      </c>
    </row>
    <row r="10" spans="1:4" x14ac:dyDescent="0.25">
      <c r="A10" s="499" t="s">
        <v>616</v>
      </c>
      <c r="B10" s="495">
        <v>280</v>
      </c>
      <c r="C10" s="496"/>
      <c r="D10" s="1001">
        <f t="shared" si="0"/>
        <v>280</v>
      </c>
    </row>
    <row r="11" spans="1:4" x14ac:dyDescent="0.25">
      <c r="A11" s="552" t="s">
        <v>796</v>
      </c>
      <c r="B11" s="493">
        <v>0</v>
      </c>
      <c r="C11" s="496"/>
      <c r="D11" s="1001">
        <f t="shared" si="0"/>
        <v>0</v>
      </c>
    </row>
    <row r="12" spans="1:4" x14ac:dyDescent="0.25">
      <c r="A12" s="552" t="s">
        <v>789</v>
      </c>
      <c r="B12" s="493">
        <v>0</v>
      </c>
      <c r="C12" s="813"/>
      <c r="D12" s="1001">
        <f t="shared" si="0"/>
        <v>0</v>
      </c>
    </row>
    <row r="13" spans="1:4" x14ac:dyDescent="0.25">
      <c r="A13" s="818" t="s">
        <v>723</v>
      </c>
      <c r="B13" s="813">
        <f>SUM(B5:B12)</f>
        <v>46165</v>
      </c>
      <c r="C13" s="813">
        <f>SUM(C5:C12)</f>
        <v>0</v>
      </c>
      <c r="D13" s="1002">
        <f>SUM(D5:D12)</f>
        <v>46165</v>
      </c>
    </row>
    <row r="14" spans="1:4" x14ac:dyDescent="0.25">
      <c r="A14" s="552"/>
      <c r="B14" s="493"/>
      <c r="C14" s="496"/>
      <c r="D14" s="1001"/>
    </row>
    <row r="15" spans="1:4" x14ac:dyDescent="0.25">
      <c r="A15" s="377" t="s">
        <v>740</v>
      </c>
      <c r="B15" s="815">
        <v>0</v>
      </c>
      <c r="C15" s="496"/>
      <c r="D15" s="1001">
        <f t="shared" ref="D15" si="1">B15+C15</f>
        <v>0</v>
      </c>
    </row>
    <row r="16" spans="1:4" x14ac:dyDescent="0.25">
      <c r="A16" s="814" t="s">
        <v>778</v>
      </c>
      <c r="B16" s="816">
        <f>SUM(B15:B15)</f>
        <v>0</v>
      </c>
      <c r="C16" s="816">
        <f>SUM(C15:C15)</f>
        <v>0</v>
      </c>
      <c r="D16" s="1003">
        <f>SUM(D15:D15)</f>
        <v>0</v>
      </c>
    </row>
    <row r="17" spans="1:4" x14ac:dyDescent="0.25">
      <c r="A17" s="494"/>
      <c r="B17" s="495"/>
      <c r="C17" s="496"/>
      <c r="D17" s="849"/>
    </row>
    <row r="18" spans="1:4" ht="15.75" thickBot="1" x14ac:dyDescent="0.3">
      <c r="A18" s="497" t="s">
        <v>180</v>
      </c>
      <c r="B18" s="498">
        <f>B13+B16</f>
        <v>46165</v>
      </c>
      <c r="C18" s="498">
        <f>C13+C16</f>
        <v>0</v>
      </c>
      <c r="D18" s="1004">
        <f>D13+D16</f>
        <v>46165</v>
      </c>
    </row>
    <row r="19" spans="1:4" x14ac:dyDescent="0.25">
      <c r="A19" s="382"/>
      <c r="B19" s="382"/>
      <c r="C19" s="383"/>
      <c r="D19" s="1005"/>
    </row>
    <row r="20" spans="1:4" ht="15.75" thickBot="1" x14ac:dyDescent="0.3">
      <c r="A20" s="384"/>
      <c r="B20" s="384"/>
      <c r="C20" s="384"/>
      <c r="D20" s="1006"/>
    </row>
    <row r="21" spans="1:4" x14ac:dyDescent="0.25">
      <c r="A21" s="1195" t="s">
        <v>512</v>
      </c>
      <c r="B21" s="1196"/>
      <c r="C21" s="1197"/>
      <c r="D21" s="1198"/>
    </row>
    <row r="22" spans="1:4" ht="15.75" thickBot="1" x14ac:dyDescent="0.3">
      <c r="A22" s="547"/>
      <c r="B22" s="548"/>
      <c r="C22" s="549"/>
      <c r="D22" s="999"/>
    </row>
    <row r="23" spans="1:4" ht="26.25" x14ac:dyDescent="0.25">
      <c r="A23" s="546" t="s">
        <v>279</v>
      </c>
      <c r="B23" s="954" t="s">
        <v>914</v>
      </c>
      <c r="C23" s="630" t="s">
        <v>684</v>
      </c>
      <c r="D23" s="1000" t="s">
        <v>938</v>
      </c>
    </row>
    <row r="24" spans="1:4" x14ac:dyDescent="0.25">
      <c r="A24" s="377" t="s">
        <v>741</v>
      </c>
      <c r="B24" s="930">
        <v>50000</v>
      </c>
      <c r="C24" s="379"/>
      <c r="D24" s="1007">
        <f>B24+C24</f>
        <v>50000</v>
      </c>
    </row>
    <row r="25" spans="1:4" s="404" customFormat="1" ht="15.75" customHeight="1" x14ac:dyDescent="0.25">
      <c r="A25" s="377" t="s">
        <v>742</v>
      </c>
      <c r="B25" s="930">
        <v>13793</v>
      </c>
      <c r="C25" s="379"/>
      <c r="D25" s="1007">
        <f t="shared" ref="D25:D27" si="2">B25+C25</f>
        <v>13793</v>
      </c>
    </row>
    <row r="26" spans="1:4" x14ac:dyDescent="0.25">
      <c r="A26" s="377" t="s">
        <v>925</v>
      </c>
      <c r="B26" s="378">
        <v>67160</v>
      </c>
      <c r="C26" s="379"/>
      <c r="D26" s="1007">
        <f t="shared" si="2"/>
        <v>67160</v>
      </c>
    </row>
    <row r="27" spans="1:4" x14ac:dyDescent="0.25">
      <c r="A27" s="377"/>
      <c r="B27" s="378"/>
      <c r="C27" s="379"/>
      <c r="D27" s="1007">
        <f t="shared" si="2"/>
        <v>0</v>
      </c>
    </row>
    <row r="28" spans="1:4" x14ac:dyDescent="0.25">
      <c r="A28" s="377"/>
      <c r="B28" s="378"/>
      <c r="C28" s="379"/>
      <c r="D28" s="1007"/>
    </row>
    <row r="29" spans="1:4" ht="15.75" thickBot="1" x14ac:dyDescent="0.3">
      <c r="A29" s="380" t="s">
        <v>180</v>
      </c>
      <c r="B29" s="381">
        <f>SUM(B24:B28)</f>
        <v>130953</v>
      </c>
      <c r="C29" s="381">
        <f>SUM(C24:C28)</f>
        <v>0</v>
      </c>
      <c r="D29" s="1008">
        <f>SUM(D24:D28)</f>
        <v>130953</v>
      </c>
    </row>
    <row r="30" spans="1:4" x14ac:dyDescent="0.25">
      <c r="A30" s="385"/>
      <c r="B30" s="385"/>
      <c r="C30" s="386"/>
      <c r="D30" s="1009"/>
    </row>
    <row r="31" spans="1:4" ht="15.75" thickBot="1" x14ac:dyDescent="0.3">
      <c r="A31" s="384"/>
      <c r="B31" s="384"/>
      <c r="C31" s="384"/>
      <c r="D31" s="1006"/>
    </row>
    <row r="32" spans="1:4" x14ac:dyDescent="0.25">
      <c r="A32" s="1199" t="s">
        <v>513</v>
      </c>
      <c r="B32" s="1200"/>
      <c r="C32" s="1200"/>
      <c r="D32" s="1201"/>
    </row>
    <row r="33" spans="1:4" ht="15.75" thickBot="1" x14ac:dyDescent="0.3">
      <c r="A33" s="550"/>
      <c r="B33" s="551"/>
      <c r="C33" s="551"/>
      <c r="D33" s="1010"/>
    </row>
    <row r="34" spans="1:4" ht="26.25" x14ac:dyDescent="0.25">
      <c r="A34" s="545" t="s">
        <v>279</v>
      </c>
      <c r="B34" s="954" t="s">
        <v>914</v>
      </c>
      <c r="C34" s="630" t="s">
        <v>684</v>
      </c>
      <c r="D34" s="1000" t="s">
        <v>938</v>
      </c>
    </row>
    <row r="35" spans="1:4" x14ac:dyDescent="0.25">
      <c r="A35" s="377" t="s">
        <v>496</v>
      </c>
      <c r="B35" s="388">
        <v>42</v>
      </c>
      <c r="C35" s="389"/>
      <c r="D35" s="1011">
        <f>B35+C35</f>
        <v>42</v>
      </c>
    </row>
    <row r="36" spans="1:4" x14ac:dyDescent="0.25">
      <c r="A36" s="499" t="s">
        <v>933</v>
      </c>
      <c r="B36" s="758">
        <v>8738</v>
      </c>
      <c r="C36" s="758"/>
      <c r="D36" s="1011">
        <f t="shared" ref="D36:D37" si="3">B36+C36</f>
        <v>8738</v>
      </c>
    </row>
    <row r="37" spans="1:4" x14ac:dyDescent="0.25">
      <c r="A37" s="499" t="s">
        <v>934</v>
      </c>
      <c r="B37" s="758">
        <v>728</v>
      </c>
      <c r="C37" s="758"/>
      <c r="D37" s="1011">
        <f t="shared" si="3"/>
        <v>728</v>
      </c>
    </row>
    <row r="38" spans="1:4" s="989" customFormat="1" ht="12.75" x14ac:dyDescent="0.2">
      <c r="A38" s="988" t="s">
        <v>1047</v>
      </c>
      <c r="B38" s="458"/>
      <c r="C38" s="394">
        <v>8000</v>
      </c>
      <c r="D38" s="394">
        <f>B38+C38</f>
        <v>8000</v>
      </c>
    </row>
    <row r="39" spans="1:4" x14ac:dyDescent="0.25">
      <c r="A39" s="814" t="s">
        <v>723</v>
      </c>
      <c r="B39" s="820">
        <f>+B35+B36+B37+B38</f>
        <v>9508</v>
      </c>
      <c r="C39" s="820">
        <f t="shared" ref="C39:D39" si="4">+C35+C36+C37+C38</f>
        <v>8000</v>
      </c>
      <c r="D39" s="1012">
        <f t="shared" si="4"/>
        <v>17508</v>
      </c>
    </row>
    <row r="40" spans="1:4" x14ac:dyDescent="0.25">
      <c r="A40" s="499"/>
      <c r="B40" s="758"/>
      <c r="C40" s="758"/>
      <c r="D40" s="1011"/>
    </row>
    <row r="41" spans="1:4" s="404" customFormat="1" x14ac:dyDescent="0.25">
      <c r="A41" s="757" t="s">
        <v>743</v>
      </c>
      <c r="B41" s="495">
        <v>700</v>
      </c>
      <c r="C41" s="758">
        <f>'6.mell Int.összesen'!H38</f>
        <v>0</v>
      </c>
      <c r="D41" s="1011">
        <f>B41+C41</f>
        <v>700</v>
      </c>
    </row>
    <row r="42" spans="1:4" s="404" customFormat="1" x14ac:dyDescent="0.25">
      <c r="A42" s="819" t="s">
        <v>778</v>
      </c>
      <c r="B42" s="821">
        <f>B41</f>
        <v>700</v>
      </c>
      <c r="C42" s="821">
        <f t="shared" ref="C42:D42" si="5">C41</f>
        <v>0</v>
      </c>
      <c r="D42" s="1013">
        <f t="shared" si="5"/>
        <v>700</v>
      </c>
    </row>
    <row r="43" spans="1:4" s="404" customFormat="1" x14ac:dyDescent="0.25">
      <c r="A43" s="819"/>
      <c r="B43" s="495"/>
      <c r="C43" s="758"/>
      <c r="D43" s="1014"/>
    </row>
    <row r="44" spans="1:4" ht="15.75" thickBot="1" x14ac:dyDescent="0.3">
      <c r="A44" s="380" t="s">
        <v>180</v>
      </c>
      <c r="B44" s="390">
        <f>B39+B42</f>
        <v>10208</v>
      </c>
      <c r="C44" s="390">
        <f t="shared" ref="C44:D44" si="6">C39+C42</f>
        <v>8000</v>
      </c>
      <c r="D44" s="1015">
        <f t="shared" si="6"/>
        <v>18208</v>
      </c>
    </row>
    <row r="45" spans="1:4" ht="15.75" thickBot="1" x14ac:dyDescent="0.3">
      <c r="A45" s="384"/>
      <c r="B45" s="384"/>
      <c r="C45" s="384"/>
      <c r="D45" s="1016"/>
    </row>
    <row r="46" spans="1:4" x14ac:dyDescent="0.25">
      <c r="A46" s="1199" t="s">
        <v>514</v>
      </c>
      <c r="B46" s="1200"/>
      <c r="C46" s="1200"/>
      <c r="D46" s="1201"/>
    </row>
    <row r="47" spans="1:4" ht="15.75" thickBot="1" x14ac:dyDescent="0.3">
      <c r="A47" s="550"/>
      <c r="B47" s="551"/>
      <c r="C47" s="551"/>
      <c r="D47" s="1010"/>
    </row>
    <row r="48" spans="1:4" ht="26.25" x14ac:dyDescent="0.25">
      <c r="A48" s="545" t="s">
        <v>279</v>
      </c>
      <c r="B48" s="954" t="s">
        <v>914</v>
      </c>
      <c r="C48" s="630" t="s">
        <v>684</v>
      </c>
      <c r="D48" s="1000" t="s">
        <v>938</v>
      </c>
    </row>
    <row r="49" spans="1:4" x14ac:dyDescent="0.25">
      <c r="A49" s="387"/>
      <c r="B49" s="388"/>
      <c r="C49" s="389"/>
      <c r="D49" s="1011"/>
    </row>
    <row r="50" spans="1:4" s="404" customFormat="1" ht="16.5" customHeight="1" x14ac:dyDescent="0.25">
      <c r="A50" s="377"/>
      <c r="B50" s="388"/>
      <c r="C50" s="389"/>
      <c r="D50" s="1011"/>
    </row>
    <row r="51" spans="1:4" x14ac:dyDescent="0.25">
      <c r="A51" s="377"/>
      <c r="B51" s="388"/>
      <c r="C51" s="389"/>
      <c r="D51" s="1011"/>
    </row>
    <row r="52" spans="1:4" x14ac:dyDescent="0.25">
      <c r="A52" s="377"/>
      <c r="B52" s="388"/>
      <c r="C52" s="389"/>
      <c r="D52" s="1011"/>
    </row>
    <row r="53" spans="1:4" ht="15.75" thickBot="1" x14ac:dyDescent="0.3">
      <c r="A53" s="380" t="s">
        <v>180</v>
      </c>
      <c r="B53" s="390">
        <f>SUM(B49:B52)</f>
        <v>0</v>
      </c>
      <c r="C53" s="390">
        <f t="shared" ref="C53:D53" si="7">SUM(C49:C52)</f>
        <v>0</v>
      </c>
      <c r="D53" s="1017">
        <f t="shared" si="7"/>
        <v>0</v>
      </c>
    </row>
    <row r="54" spans="1:4" x14ac:dyDescent="0.25">
      <c r="A54" s="384"/>
      <c r="B54" s="384"/>
      <c r="C54" s="384"/>
      <c r="D54" s="1016"/>
    </row>
    <row r="55" spans="1:4" x14ac:dyDescent="0.25">
      <c r="A55" s="384"/>
      <c r="B55" s="384"/>
      <c r="C55" s="384"/>
      <c r="D55" s="1016"/>
    </row>
  </sheetData>
  <mergeCells count="4">
    <mergeCell ref="A2:D2"/>
    <mergeCell ref="A21:D21"/>
    <mergeCell ref="A32:D32"/>
    <mergeCell ref="A46:D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zoomScaleNormal="100" workbookViewId="0">
      <selection activeCell="B14" sqref="B14"/>
    </sheetView>
  </sheetViews>
  <sheetFormatPr defaultColWidth="9.140625" defaultRowHeight="12.75" x14ac:dyDescent="0.2"/>
  <cols>
    <col min="1" max="1" width="46.42578125" style="391" bestFit="1" customWidth="1"/>
    <col min="2" max="2" width="13.140625" style="391" customWidth="1"/>
    <col min="3" max="3" width="14.7109375" style="391" customWidth="1"/>
    <col min="4" max="4" width="13.140625" style="989" customWidth="1"/>
    <col min="5" max="16384" width="9.140625" style="391"/>
  </cols>
  <sheetData>
    <row r="1" spans="1:4" ht="13.5" customHeight="1" thickBot="1" x14ac:dyDescent="0.3">
      <c r="A1" s="441"/>
      <c r="B1" s="441"/>
      <c r="C1" s="1202" t="s">
        <v>380</v>
      </c>
      <c r="D1" s="1202"/>
    </row>
    <row r="2" spans="1:4" s="405" customFormat="1" ht="25.5" x14ac:dyDescent="0.2">
      <c r="A2" s="406" t="s">
        <v>279</v>
      </c>
      <c r="B2" s="955" t="s">
        <v>914</v>
      </c>
      <c r="C2" s="629" t="s">
        <v>684</v>
      </c>
      <c r="D2" s="1019" t="s">
        <v>938</v>
      </c>
    </row>
    <row r="3" spans="1:4" x14ac:dyDescent="0.2">
      <c r="A3" s="392" t="s">
        <v>562</v>
      </c>
      <c r="B3" s="393">
        <v>417</v>
      </c>
      <c r="C3" s="394"/>
      <c r="D3" s="394">
        <f t="shared" ref="D3:D12" si="0">B3+C3</f>
        <v>417</v>
      </c>
    </row>
    <row r="4" spans="1:4" x14ac:dyDescent="0.2">
      <c r="A4" s="392" t="s">
        <v>674</v>
      </c>
      <c r="B4" s="458">
        <v>25903</v>
      </c>
      <c r="C4" s="394"/>
      <c r="D4" s="394">
        <f t="shared" si="0"/>
        <v>25903</v>
      </c>
    </row>
    <row r="5" spans="1:4" x14ac:dyDescent="0.2">
      <c r="A5" s="392" t="s">
        <v>515</v>
      </c>
      <c r="B5" s="458">
        <v>24311</v>
      </c>
      <c r="C5" s="394"/>
      <c r="D5" s="394">
        <f t="shared" si="0"/>
        <v>24311</v>
      </c>
    </row>
    <row r="6" spans="1:4" x14ac:dyDescent="0.2">
      <c r="A6" s="392" t="s">
        <v>557</v>
      </c>
      <c r="B6" s="458">
        <v>6133</v>
      </c>
      <c r="C6" s="394"/>
      <c r="D6" s="394">
        <f t="shared" si="0"/>
        <v>6133</v>
      </c>
    </row>
    <row r="7" spans="1:4" ht="15" customHeight="1" x14ac:dyDescent="0.2">
      <c r="A7" s="392" t="s">
        <v>497</v>
      </c>
      <c r="B7" s="458">
        <v>500</v>
      </c>
      <c r="C7" s="394">
        <v>300</v>
      </c>
      <c r="D7" s="394">
        <f t="shared" si="0"/>
        <v>800</v>
      </c>
    </row>
    <row r="8" spans="1:4" x14ac:dyDescent="0.2">
      <c r="A8" s="392" t="s">
        <v>911</v>
      </c>
      <c r="B8" s="458">
        <v>1522</v>
      </c>
      <c r="C8" s="394"/>
      <c r="D8" s="394">
        <f t="shared" si="0"/>
        <v>1522</v>
      </c>
    </row>
    <row r="9" spans="1:4" x14ac:dyDescent="0.2">
      <c r="A9" s="392" t="s">
        <v>555</v>
      </c>
      <c r="B9" s="458">
        <v>8167</v>
      </c>
      <c r="C9" s="394"/>
      <c r="D9" s="394">
        <f t="shared" si="0"/>
        <v>8167</v>
      </c>
    </row>
    <row r="10" spans="1:4" x14ac:dyDescent="0.2">
      <c r="A10" s="392" t="s">
        <v>516</v>
      </c>
      <c r="B10" s="458">
        <v>13804</v>
      </c>
      <c r="C10" s="394">
        <v>81</v>
      </c>
      <c r="D10" s="394">
        <f t="shared" si="0"/>
        <v>13885</v>
      </c>
    </row>
    <row r="11" spans="1:4" x14ac:dyDescent="0.2">
      <c r="A11" s="392" t="s">
        <v>982</v>
      </c>
      <c r="B11" s="458"/>
      <c r="C11" s="394">
        <v>708</v>
      </c>
      <c r="D11" s="394">
        <f t="shared" si="0"/>
        <v>708</v>
      </c>
    </row>
    <row r="12" spans="1:4" x14ac:dyDescent="0.2">
      <c r="A12" s="809" t="s">
        <v>723</v>
      </c>
      <c r="B12" s="401">
        <f>SUM(B3:B11)</f>
        <v>80757</v>
      </c>
      <c r="C12" s="812">
        <f>SUM(C3:C11)</f>
        <v>1089</v>
      </c>
      <c r="D12" s="812">
        <f t="shared" si="0"/>
        <v>81846</v>
      </c>
    </row>
    <row r="13" spans="1:4" x14ac:dyDescent="0.2">
      <c r="A13" s="392"/>
      <c r="B13" s="393"/>
      <c r="C13" s="394"/>
      <c r="D13" s="394"/>
    </row>
    <row r="14" spans="1:4" x14ac:dyDescent="0.2">
      <c r="A14" s="392" t="s">
        <v>851</v>
      </c>
      <c r="B14" s="458">
        <f>+'6.mell Int.összesen'!G36</f>
        <v>1990</v>
      </c>
      <c r="C14" s="458">
        <f>+'6.mell Int.összesen'!H36</f>
        <v>1539</v>
      </c>
      <c r="D14" s="394">
        <f>B14+C14</f>
        <v>3529</v>
      </c>
    </row>
    <row r="15" spans="1:4" x14ac:dyDescent="0.2">
      <c r="A15" s="809" t="s">
        <v>778</v>
      </c>
      <c r="B15" s="401">
        <f>SUM(B14:B14)</f>
        <v>1990</v>
      </c>
      <c r="C15" s="401">
        <f>SUM(C14:C14)</f>
        <v>1539</v>
      </c>
      <c r="D15" s="811">
        <f>SUM(D14:D14)</f>
        <v>3529</v>
      </c>
    </row>
    <row r="16" spans="1:4" x14ac:dyDescent="0.2">
      <c r="A16" s="809"/>
      <c r="B16" s="393"/>
      <c r="C16" s="394"/>
      <c r="D16" s="394"/>
    </row>
    <row r="17" spans="1:4" x14ac:dyDescent="0.2">
      <c r="A17" s="392" t="s">
        <v>779</v>
      </c>
      <c r="B17" s="458">
        <f>+'6.mell Int.összesen'!J36</f>
        <v>6772</v>
      </c>
      <c r="C17" s="458">
        <f>+'6.mell Int.összesen'!K36</f>
        <v>0</v>
      </c>
      <c r="D17" s="394">
        <f>B17+C17</f>
        <v>6772</v>
      </c>
    </row>
    <row r="18" spans="1:4" x14ac:dyDescent="0.2">
      <c r="A18" s="810" t="s">
        <v>780</v>
      </c>
      <c r="B18" s="811">
        <f>SUM(B17)</f>
        <v>6772</v>
      </c>
      <c r="C18" s="402">
        <f>SUM(C17)</f>
        <v>0</v>
      </c>
      <c r="D18" s="812">
        <f>B18+C18</f>
        <v>6772</v>
      </c>
    </row>
    <row r="19" spans="1:4" x14ac:dyDescent="0.2">
      <c r="A19" s="392"/>
      <c r="B19" s="458"/>
      <c r="C19" s="395"/>
      <c r="D19" s="394"/>
    </row>
    <row r="20" spans="1:4" x14ac:dyDescent="0.2">
      <c r="A20" s="392"/>
      <c r="B20" s="396"/>
      <c r="C20" s="395"/>
      <c r="D20" s="394"/>
    </row>
    <row r="21" spans="1:4" ht="13.5" thickBot="1" x14ac:dyDescent="0.25">
      <c r="A21" s="397" t="s">
        <v>498</v>
      </c>
      <c r="B21" s="398">
        <f>B12+B15+B18</f>
        <v>89519</v>
      </c>
      <c r="C21" s="398">
        <f t="shared" ref="C21:D21" si="1">C12+C15+C18</f>
        <v>2628</v>
      </c>
      <c r="D21" s="1020">
        <f t="shared" si="1"/>
        <v>92147</v>
      </c>
    </row>
    <row r="23" spans="1:4" ht="13.5" thickBot="1" x14ac:dyDescent="0.25"/>
    <row r="24" spans="1:4" x14ac:dyDescent="0.2">
      <c r="A24" s="553" t="s">
        <v>794</v>
      </c>
      <c r="B24" s="846">
        <v>10000</v>
      </c>
      <c r="C24" s="554"/>
      <c r="D24" s="1021">
        <f>B24+C24</f>
        <v>10000</v>
      </c>
    </row>
    <row r="25" spans="1:4" x14ac:dyDescent="0.2">
      <c r="A25" s="850" t="s">
        <v>797</v>
      </c>
      <c r="B25" s="851"/>
      <c r="C25" s="400"/>
      <c r="D25" s="1022"/>
    </row>
    <row r="26" spans="1:4" ht="13.5" thickBot="1" x14ac:dyDescent="0.25">
      <c r="A26" s="397" t="s">
        <v>499</v>
      </c>
      <c r="B26" s="398">
        <f>SUM(B24:B25)</f>
        <v>10000</v>
      </c>
      <c r="C26" s="399">
        <f>C24</f>
        <v>0</v>
      </c>
      <c r="D26" s="1023">
        <f>SUM(D24:D25)</f>
        <v>10000</v>
      </c>
    </row>
    <row r="32" spans="1:4" x14ac:dyDescent="0.2">
      <c r="A32" s="391" t="s">
        <v>500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C32" sqref="C32"/>
    </sheetView>
  </sheetViews>
  <sheetFormatPr defaultColWidth="9.140625" defaultRowHeight="12.75" x14ac:dyDescent="0.2"/>
  <cols>
    <col min="1" max="1" width="39.28515625" style="391" customWidth="1"/>
    <col min="2" max="2" width="15.140625" style="391" customWidth="1"/>
    <col min="3" max="3" width="16.7109375" style="391" customWidth="1"/>
    <col min="4" max="4" width="15.7109375" style="989" customWidth="1"/>
    <col min="5" max="16384" width="9.140625" style="391"/>
  </cols>
  <sheetData>
    <row r="1" spans="1:4" ht="15.75" customHeight="1" thickBot="1" x14ac:dyDescent="0.25">
      <c r="D1" s="1024" t="s">
        <v>380</v>
      </c>
    </row>
    <row r="2" spans="1:4" s="405" customFormat="1" ht="25.5" x14ac:dyDescent="0.2">
      <c r="A2" s="555" t="s">
        <v>279</v>
      </c>
      <c r="B2" s="956" t="s">
        <v>914</v>
      </c>
      <c r="C2" s="631" t="s">
        <v>684</v>
      </c>
      <c r="D2" s="1000" t="s">
        <v>938</v>
      </c>
    </row>
    <row r="3" spans="1:4" x14ac:dyDescent="0.2">
      <c r="A3" s="556" t="s">
        <v>501</v>
      </c>
      <c r="B3" s="394">
        <v>31000</v>
      </c>
      <c r="C3" s="395"/>
      <c r="D3" s="1025">
        <f>B3+C3</f>
        <v>31000</v>
      </c>
    </row>
    <row r="4" spans="1:4" x14ac:dyDescent="0.2">
      <c r="A4" s="556" t="s">
        <v>502</v>
      </c>
      <c r="B4" s="394">
        <v>141643</v>
      </c>
      <c r="C4" s="395"/>
      <c r="D4" s="1025">
        <f t="shared" ref="D4:D6" si="0">B4+C4</f>
        <v>141643</v>
      </c>
    </row>
    <row r="5" spans="1:4" x14ac:dyDescent="0.2">
      <c r="A5" s="556" t="s">
        <v>503</v>
      </c>
      <c r="B5" s="394">
        <v>54800</v>
      </c>
      <c r="C5" s="395"/>
      <c r="D5" s="1025">
        <f t="shared" si="0"/>
        <v>54800</v>
      </c>
    </row>
    <row r="6" spans="1:4" x14ac:dyDescent="0.2">
      <c r="A6" s="556" t="s">
        <v>504</v>
      </c>
      <c r="B6" s="394">
        <v>96800</v>
      </c>
      <c r="C6" s="395"/>
      <c r="D6" s="1025">
        <f t="shared" si="0"/>
        <v>96800</v>
      </c>
    </row>
    <row r="7" spans="1:4" x14ac:dyDescent="0.2">
      <c r="A7" s="557" t="s">
        <v>505</v>
      </c>
      <c r="B7" s="401">
        <f>SUM(B3:B6)</f>
        <v>324243</v>
      </c>
      <c r="C7" s="401">
        <f>SUM(C3:C6)</f>
        <v>0</v>
      </c>
      <c r="D7" s="1026">
        <f>SUM(D3:D6)</f>
        <v>324243</v>
      </c>
    </row>
    <row r="8" spans="1:4" x14ac:dyDescent="0.2">
      <c r="A8" s="556"/>
      <c r="B8" s="393"/>
      <c r="C8" s="395"/>
      <c r="D8" s="1025">
        <f t="shared" ref="D8:D20" si="1">+C8+B8</f>
        <v>0</v>
      </c>
    </row>
    <row r="9" spans="1:4" x14ac:dyDescent="0.2">
      <c r="A9" s="556" t="s">
        <v>506</v>
      </c>
      <c r="B9" s="393">
        <v>0</v>
      </c>
      <c r="C9" s="395"/>
      <c r="D9" s="1025">
        <f>B9+C9</f>
        <v>0</v>
      </c>
    </row>
    <row r="10" spans="1:4" x14ac:dyDescent="0.2">
      <c r="A10" s="557" t="s">
        <v>507</v>
      </c>
      <c r="B10" s="401">
        <f>+B9</f>
        <v>0</v>
      </c>
      <c r="C10" s="401">
        <f t="shared" ref="C10:D10" si="2">+C9</f>
        <v>0</v>
      </c>
      <c r="D10" s="1026">
        <f t="shared" si="2"/>
        <v>0</v>
      </c>
    </row>
    <row r="11" spans="1:4" x14ac:dyDescent="0.2">
      <c r="A11" s="556"/>
      <c r="B11" s="393"/>
      <c r="C11" s="395"/>
      <c r="D11" s="1025">
        <f t="shared" si="1"/>
        <v>0</v>
      </c>
    </row>
    <row r="12" spans="1:4" x14ac:dyDescent="0.2">
      <c r="A12" s="852" t="s">
        <v>517</v>
      </c>
      <c r="B12" s="458">
        <v>3500</v>
      </c>
      <c r="C12" s="395"/>
      <c r="D12" s="1025">
        <f>B12+C12</f>
        <v>3500</v>
      </c>
    </row>
    <row r="13" spans="1:4" ht="13.5" customHeight="1" x14ac:dyDescent="0.2">
      <c r="A13" s="556" t="s">
        <v>508</v>
      </c>
      <c r="B13" s="458">
        <v>2000</v>
      </c>
      <c r="C13" s="395"/>
      <c r="D13" s="1025">
        <f>B13+C13</f>
        <v>2000</v>
      </c>
    </row>
    <row r="14" spans="1:4" ht="13.5" customHeight="1" x14ac:dyDescent="0.2">
      <c r="A14" s="556" t="s">
        <v>798</v>
      </c>
      <c r="B14" s="458">
        <v>20000</v>
      </c>
      <c r="C14" s="395"/>
      <c r="D14" s="1025">
        <f t="shared" si="1"/>
        <v>20000</v>
      </c>
    </row>
    <row r="15" spans="1:4" x14ac:dyDescent="0.2">
      <c r="A15" s="556" t="s">
        <v>799</v>
      </c>
      <c r="B15" s="458">
        <v>2000</v>
      </c>
      <c r="C15" s="401"/>
      <c r="D15" s="1025">
        <f t="shared" si="1"/>
        <v>2000</v>
      </c>
    </row>
    <row r="16" spans="1:4" x14ac:dyDescent="0.2">
      <c r="A16" s="556" t="s">
        <v>800</v>
      </c>
      <c r="B16" s="393">
        <v>0</v>
      </c>
      <c r="C16" s="395"/>
      <c r="D16" s="1025">
        <f t="shared" si="1"/>
        <v>0</v>
      </c>
    </row>
    <row r="17" spans="1:4" x14ac:dyDescent="0.2">
      <c r="A17" s="557" t="s">
        <v>509</v>
      </c>
      <c r="B17" s="401">
        <f>SUM(B12:B16)</f>
        <v>27500</v>
      </c>
      <c r="C17" s="401">
        <f t="shared" ref="C17:D17" si="3">SUM(C12:C16)</f>
        <v>0</v>
      </c>
      <c r="D17" s="1026">
        <f t="shared" si="3"/>
        <v>27500</v>
      </c>
    </row>
    <row r="18" spans="1:4" x14ac:dyDescent="0.2">
      <c r="A18" s="556"/>
      <c r="B18" s="396"/>
      <c r="C18" s="395"/>
      <c r="D18" s="1025"/>
    </row>
    <row r="19" spans="1:4" x14ac:dyDescent="0.2">
      <c r="A19" s="557" t="s">
        <v>905</v>
      </c>
      <c r="B19" s="401">
        <v>6244</v>
      </c>
      <c r="C19" s="395"/>
      <c r="D19" s="1025">
        <f t="shared" si="1"/>
        <v>6244</v>
      </c>
    </row>
    <row r="20" spans="1:4" x14ac:dyDescent="0.2">
      <c r="A20" s="556"/>
      <c r="B20" s="393"/>
      <c r="C20" s="395"/>
      <c r="D20" s="1025">
        <f t="shared" si="1"/>
        <v>0</v>
      </c>
    </row>
    <row r="21" spans="1:4" ht="13.5" thickBot="1" x14ac:dyDescent="0.25">
      <c r="A21" s="558" t="s">
        <v>510</v>
      </c>
      <c r="B21" s="398">
        <f>+B17+B10+B7+B19</f>
        <v>357987</v>
      </c>
      <c r="C21" s="398">
        <f t="shared" ref="C21:D21" si="4">+C17+C10+C7+C19</f>
        <v>0</v>
      </c>
      <c r="D21" s="1027">
        <f t="shared" si="4"/>
        <v>357987</v>
      </c>
    </row>
    <row r="22" spans="1:4" x14ac:dyDescent="0.2">
      <c r="D22" s="1028"/>
    </row>
    <row r="23" spans="1:4" x14ac:dyDescent="0.2">
      <c r="D23" s="1028"/>
    </row>
    <row r="24" spans="1:4" x14ac:dyDescent="0.2">
      <c r="D24" s="1028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zoomScalePageLayoutView="70" workbookViewId="0">
      <selection activeCell="C20" activeCellId="1" sqref="C18 C20"/>
    </sheetView>
  </sheetViews>
  <sheetFormatPr defaultColWidth="9.140625" defaultRowHeight="12.75" x14ac:dyDescent="0.25"/>
  <cols>
    <col min="1" max="1" width="51.42578125" style="327" bestFit="1" customWidth="1"/>
    <col min="2" max="3" width="12.7109375" style="329" customWidth="1"/>
    <col min="4" max="4" width="12.7109375" style="1153" customWidth="1"/>
    <col min="5" max="7" width="14.28515625" style="365" customWidth="1"/>
    <col min="8" max="10" width="14.28515625" style="328" customWidth="1"/>
    <col min="11" max="16384" width="9.140625" style="327"/>
  </cols>
  <sheetData>
    <row r="1" spans="1:10" ht="53.25" customHeight="1" x14ac:dyDescent="0.25">
      <c r="A1" s="1203" t="s">
        <v>518</v>
      </c>
      <c r="B1" s="1205" t="s">
        <v>582</v>
      </c>
      <c r="C1" s="1205"/>
      <c r="D1" s="1206"/>
      <c r="E1" s="1207" t="s">
        <v>583</v>
      </c>
      <c r="F1" s="1207"/>
      <c r="G1" s="1207"/>
      <c r="H1" s="1208" t="s">
        <v>942</v>
      </c>
      <c r="I1" s="1208" t="s">
        <v>852</v>
      </c>
      <c r="J1" s="1208" t="s">
        <v>939</v>
      </c>
    </row>
    <row r="2" spans="1:10" s="328" customFormat="1" ht="51" x14ac:dyDescent="0.25">
      <c r="A2" s="1204"/>
      <c r="B2" s="333" t="s">
        <v>942</v>
      </c>
      <c r="C2" s="333" t="s">
        <v>852</v>
      </c>
      <c r="D2" s="863" t="s">
        <v>939</v>
      </c>
      <c r="E2" s="863" t="s">
        <v>942</v>
      </c>
      <c r="F2" s="863" t="s">
        <v>852</v>
      </c>
      <c r="G2" s="863" t="s">
        <v>939</v>
      </c>
      <c r="H2" s="1209"/>
      <c r="I2" s="1209"/>
      <c r="J2" s="1209"/>
    </row>
    <row r="3" spans="1:10" ht="16.5" customHeight="1" x14ac:dyDescent="0.25">
      <c r="A3" s="334" t="s">
        <v>519</v>
      </c>
      <c r="B3" s="822">
        <v>121098600</v>
      </c>
      <c r="C3" s="607"/>
      <c r="D3" s="607">
        <f>B3+C3</f>
        <v>121098600</v>
      </c>
      <c r="E3" s="605">
        <v>0</v>
      </c>
      <c r="F3" s="605"/>
      <c r="G3" s="605">
        <f>+F3+E3</f>
        <v>0</v>
      </c>
      <c r="H3" s="464">
        <f>+B3+E3</f>
        <v>121098600</v>
      </c>
      <c r="I3" s="464">
        <f t="shared" ref="I3:J3" si="0">+C3+F3</f>
        <v>0</v>
      </c>
      <c r="J3" s="464">
        <f t="shared" si="0"/>
        <v>121098600</v>
      </c>
    </row>
    <row r="4" spans="1:10" ht="16.5" customHeight="1" x14ac:dyDescent="0.25">
      <c r="A4" s="337" t="s">
        <v>520</v>
      </c>
      <c r="B4" s="822">
        <v>26761102</v>
      </c>
      <c r="C4" s="822"/>
      <c r="D4" s="607">
        <f t="shared" ref="D4:D14" si="1">B4+C4</f>
        <v>26761102</v>
      </c>
      <c r="E4" s="364">
        <v>0</v>
      </c>
      <c r="F4" s="364"/>
      <c r="G4" s="364">
        <f t="shared" ref="G4:G47" si="2">+F4+E4</f>
        <v>0</v>
      </c>
      <c r="H4" s="464">
        <f t="shared" ref="H4:H48" si="3">+B4+E4</f>
        <v>26761102</v>
      </c>
      <c r="I4" s="464">
        <f t="shared" ref="I4:I48" si="4">+C4+F4</f>
        <v>0</v>
      </c>
      <c r="J4" s="464">
        <f t="shared" ref="J4:J48" si="5">+D4+G4</f>
        <v>26761102</v>
      </c>
    </row>
    <row r="5" spans="1:10" s="365" customFormat="1" ht="16.5" customHeight="1" x14ac:dyDescent="0.25">
      <c r="A5" s="362" t="s">
        <v>548</v>
      </c>
      <c r="B5" s="822">
        <v>9092160</v>
      </c>
      <c r="C5" s="363"/>
      <c r="D5" s="607">
        <f t="shared" si="1"/>
        <v>9092160</v>
      </c>
      <c r="E5" s="364">
        <v>0</v>
      </c>
      <c r="F5" s="364"/>
      <c r="G5" s="364">
        <f t="shared" si="2"/>
        <v>0</v>
      </c>
      <c r="H5" s="464">
        <f t="shared" si="3"/>
        <v>9092160</v>
      </c>
      <c r="I5" s="464">
        <f t="shared" si="4"/>
        <v>0</v>
      </c>
      <c r="J5" s="464">
        <f t="shared" si="5"/>
        <v>9092160</v>
      </c>
    </row>
    <row r="6" spans="1:10" s="365" customFormat="1" ht="16.5" customHeight="1" x14ac:dyDescent="0.25">
      <c r="A6" s="362" t="s">
        <v>550</v>
      </c>
      <c r="B6" s="822">
        <v>10912000</v>
      </c>
      <c r="C6" s="363"/>
      <c r="D6" s="607">
        <f t="shared" si="1"/>
        <v>10912000</v>
      </c>
      <c r="E6" s="364">
        <v>0</v>
      </c>
      <c r="F6" s="364"/>
      <c r="G6" s="364">
        <f t="shared" si="2"/>
        <v>0</v>
      </c>
      <c r="H6" s="464">
        <f t="shared" si="3"/>
        <v>10912000</v>
      </c>
      <c r="I6" s="464">
        <f t="shared" si="4"/>
        <v>0</v>
      </c>
      <c r="J6" s="464">
        <f t="shared" si="5"/>
        <v>10912000</v>
      </c>
    </row>
    <row r="7" spans="1:10" s="365" customFormat="1" ht="16.5" customHeight="1" x14ac:dyDescent="0.25">
      <c r="A7" s="362" t="s">
        <v>551</v>
      </c>
      <c r="B7" s="822">
        <v>1539942</v>
      </c>
      <c r="C7" s="363"/>
      <c r="D7" s="607">
        <f t="shared" si="1"/>
        <v>1539942</v>
      </c>
      <c r="E7" s="364">
        <v>0</v>
      </c>
      <c r="F7" s="364"/>
      <c r="G7" s="364">
        <f t="shared" si="2"/>
        <v>0</v>
      </c>
      <c r="H7" s="464">
        <f t="shared" si="3"/>
        <v>1539942</v>
      </c>
      <c r="I7" s="464">
        <f t="shared" si="4"/>
        <v>0</v>
      </c>
      <c r="J7" s="464">
        <f t="shared" si="5"/>
        <v>1539942</v>
      </c>
    </row>
    <row r="8" spans="1:10" s="365" customFormat="1" ht="16.5" customHeight="1" x14ac:dyDescent="0.25">
      <c r="A8" s="362" t="s">
        <v>549</v>
      </c>
      <c r="B8" s="822">
        <v>5217000</v>
      </c>
      <c r="C8" s="363"/>
      <c r="D8" s="607">
        <f t="shared" si="1"/>
        <v>5217000</v>
      </c>
      <c r="E8" s="364">
        <v>0</v>
      </c>
      <c r="F8" s="364"/>
      <c r="G8" s="364">
        <f t="shared" si="2"/>
        <v>0</v>
      </c>
      <c r="H8" s="464">
        <f t="shared" si="3"/>
        <v>5217000</v>
      </c>
      <c r="I8" s="464">
        <f t="shared" si="4"/>
        <v>0</v>
      </c>
      <c r="J8" s="464">
        <f t="shared" si="5"/>
        <v>5217000</v>
      </c>
    </row>
    <row r="9" spans="1:10" ht="26.25" customHeight="1" x14ac:dyDescent="0.25">
      <c r="A9" s="490" t="s">
        <v>521</v>
      </c>
      <c r="B9" s="822">
        <v>0</v>
      </c>
      <c r="C9" s="491"/>
      <c r="D9" s="607">
        <f t="shared" si="1"/>
        <v>0</v>
      </c>
      <c r="E9" s="1154">
        <v>0</v>
      </c>
      <c r="F9" s="1154"/>
      <c r="G9" s="1154">
        <f t="shared" si="2"/>
        <v>0</v>
      </c>
      <c r="H9" s="565">
        <f t="shared" si="3"/>
        <v>0</v>
      </c>
      <c r="I9" s="565">
        <f t="shared" si="4"/>
        <v>0</v>
      </c>
      <c r="J9" s="565">
        <f t="shared" si="5"/>
        <v>0</v>
      </c>
    </row>
    <row r="10" spans="1:10" ht="16.5" customHeight="1" x14ac:dyDescent="0.25">
      <c r="A10" s="340" t="s">
        <v>522</v>
      </c>
      <c r="B10" s="822">
        <v>15530400</v>
      </c>
      <c r="C10" s="341"/>
      <c r="D10" s="996">
        <f t="shared" si="1"/>
        <v>15530400</v>
      </c>
      <c r="E10" s="1155">
        <v>0</v>
      </c>
      <c r="F10" s="1155"/>
      <c r="G10" s="1155">
        <f t="shared" si="2"/>
        <v>0</v>
      </c>
      <c r="H10" s="566">
        <f t="shared" si="3"/>
        <v>15530400</v>
      </c>
      <c r="I10" s="566">
        <f t="shared" si="4"/>
        <v>0</v>
      </c>
      <c r="J10" s="566">
        <f t="shared" si="5"/>
        <v>15530400</v>
      </c>
    </row>
    <row r="11" spans="1:10" s="328" customFormat="1" ht="16.5" customHeight="1" x14ac:dyDescent="0.25">
      <c r="A11" s="343" t="s">
        <v>537</v>
      </c>
      <c r="B11" s="822">
        <v>0</v>
      </c>
      <c r="C11" s="344"/>
      <c r="D11" s="822">
        <f t="shared" si="1"/>
        <v>0</v>
      </c>
      <c r="E11" s="1156">
        <v>0</v>
      </c>
      <c r="F11" s="1156"/>
      <c r="G11" s="1156">
        <f t="shared" si="2"/>
        <v>0</v>
      </c>
      <c r="H11" s="834">
        <f t="shared" si="3"/>
        <v>0</v>
      </c>
      <c r="I11" s="566">
        <f t="shared" si="4"/>
        <v>0</v>
      </c>
      <c r="J11" s="835">
        <f t="shared" si="5"/>
        <v>0</v>
      </c>
    </row>
    <row r="12" spans="1:10" s="328" customFormat="1" ht="16.5" customHeight="1" x14ac:dyDescent="0.25">
      <c r="A12" s="471" t="s">
        <v>539</v>
      </c>
      <c r="B12" s="922">
        <v>969000</v>
      </c>
      <c r="C12" s="472"/>
      <c r="D12" s="822">
        <f t="shared" si="1"/>
        <v>969000</v>
      </c>
      <c r="E12" s="1157">
        <v>0</v>
      </c>
      <c r="F12" s="1157"/>
      <c r="G12" s="1157">
        <f t="shared" si="2"/>
        <v>0</v>
      </c>
      <c r="H12" s="834">
        <f t="shared" si="3"/>
        <v>969000</v>
      </c>
      <c r="I12" s="566">
        <f t="shared" si="4"/>
        <v>0</v>
      </c>
      <c r="J12" s="835">
        <f t="shared" si="5"/>
        <v>969000</v>
      </c>
    </row>
    <row r="13" spans="1:10" s="328" customFormat="1" ht="16.5" customHeight="1" x14ac:dyDescent="0.25">
      <c r="A13" s="471" t="s">
        <v>541</v>
      </c>
      <c r="B13" s="922">
        <v>0</v>
      </c>
      <c r="C13" s="472"/>
      <c r="D13" s="822">
        <f t="shared" si="1"/>
        <v>0</v>
      </c>
      <c r="E13" s="1157"/>
      <c r="F13" s="1157"/>
      <c r="G13" s="1157">
        <f t="shared" si="2"/>
        <v>0</v>
      </c>
      <c r="H13" s="834">
        <f t="shared" si="3"/>
        <v>0</v>
      </c>
      <c r="I13" s="566">
        <f t="shared" si="4"/>
        <v>0</v>
      </c>
      <c r="J13" s="835">
        <f t="shared" si="5"/>
        <v>0</v>
      </c>
    </row>
    <row r="14" spans="1:10" s="328" customFormat="1" ht="16.5" customHeight="1" thickBot="1" x14ac:dyDescent="0.3">
      <c r="A14" s="612" t="s">
        <v>673</v>
      </c>
      <c r="B14" s="922">
        <v>0</v>
      </c>
      <c r="C14" s="613"/>
      <c r="D14" s="822">
        <f t="shared" si="1"/>
        <v>0</v>
      </c>
      <c r="E14" s="1158"/>
      <c r="F14" s="1158"/>
      <c r="G14" s="1157">
        <f t="shared" si="2"/>
        <v>0</v>
      </c>
      <c r="H14" s="567">
        <f t="shared" si="3"/>
        <v>0</v>
      </c>
      <c r="I14" s="567">
        <f t="shared" si="4"/>
        <v>0</v>
      </c>
      <c r="J14" s="567">
        <f t="shared" si="5"/>
        <v>0</v>
      </c>
    </row>
    <row r="15" spans="1:10" s="328" customFormat="1" ht="13.5" thickBot="1" x14ac:dyDescent="0.3">
      <c r="A15" s="466" t="s">
        <v>524</v>
      </c>
      <c r="B15" s="606">
        <f>+B3+B4+B9+B10+B11+B12+B14+B13</f>
        <v>164359102</v>
      </c>
      <c r="C15" s="606">
        <f>+C3+C4+C9+C10+C11+C12+C14+C13</f>
        <v>0</v>
      </c>
      <c r="D15" s="833">
        <f>+C15+B15</f>
        <v>164359102</v>
      </c>
      <c r="E15" s="1159">
        <f t="shared" ref="E15" si="6">+E3+E4+E9+E10+E11+E12</f>
        <v>0</v>
      </c>
      <c r="F15" s="1159">
        <f>+F3+F4+F9+F10+F11+F12+F13</f>
        <v>0</v>
      </c>
      <c r="G15" s="1159">
        <f t="shared" si="2"/>
        <v>0</v>
      </c>
      <c r="H15" s="606">
        <f t="shared" si="3"/>
        <v>164359102</v>
      </c>
      <c r="I15" s="606">
        <f t="shared" si="4"/>
        <v>0</v>
      </c>
      <c r="J15" s="606">
        <f>+D15+G15</f>
        <v>164359102</v>
      </c>
    </row>
    <row r="16" spans="1:10" ht="16.5" customHeight="1" x14ac:dyDescent="0.25">
      <c r="A16" s="349" t="s">
        <v>853</v>
      </c>
      <c r="B16" s="923">
        <v>67412800</v>
      </c>
      <c r="C16" s="607">
        <v>162050</v>
      </c>
      <c r="D16" s="607">
        <f>B16+C16</f>
        <v>67574850</v>
      </c>
      <c r="E16" s="605"/>
      <c r="F16" s="605"/>
      <c r="G16" s="605">
        <f t="shared" si="2"/>
        <v>0</v>
      </c>
      <c r="H16" s="464">
        <f t="shared" si="3"/>
        <v>67412800</v>
      </c>
      <c r="I16" s="464">
        <f t="shared" si="4"/>
        <v>162050</v>
      </c>
      <c r="J16" s="464">
        <f t="shared" si="5"/>
        <v>67574850</v>
      </c>
    </row>
    <row r="17" spans="1:10" ht="16.5" customHeight="1" x14ac:dyDescent="0.25">
      <c r="A17" s="350" t="s">
        <v>854</v>
      </c>
      <c r="B17" s="822">
        <v>33706400</v>
      </c>
      <c r="C17" s="608">
        <v>810250</v>
      </c>
      <c r="D17" s="607">
        <f>B17+C17</f>
        <v>34516650</v>
      </c>
      <c r="E17" s="1155"/>
      <c r="F17" s="1155"/>
      <c r="G17" s="1155">
        <f t="shared" si="2"/>
        <v>0</v>
      </c>
      <c r="H17" s="465">
        <f t="shared" si="3"/>
        <v>33706400</v>
      </c>
      <c r="I17" s="465">
        <f t="shared" si="4"/>
        <v>810250</v>
      </c>
      <c r="J17" s="465">
        <f t="shared" si="5"/>
        <v>34516650</v>
      </c>
    </row>
    <row r="18" spans="1:10" s="328" customFormat="1" ht="16.5" customHeight="1" x14ac:dyDescent="0.25">
      <c r="A18" s="484" t="s">
        <v>525</v>
      </c>
      <c r="B18" s="564">
        <f>+B17+B16</f>
        <v>101119200</v>
      </c>
      <c r="C18" s="564">
        <f>SUM(C16:C17)</f>
        <v>972300</v>
      </c>
      <c r="D18" s="564">
        <f t="shared" ref="D18:D40" si="7">+C18+B18</f>
        <v>102091500</v>
      </c>
      <c r="E18" s="564">
        <f t="shared" ref="E18" si="8">SUM(E16:E17)</f>
        <v>0</v>
      </c>
      <c r="F18" s="564"/>
      <c r="G18" s="564">
        <f t="shared" si="2"/>
        <v>0</v>
      </c>
      <c r="H18" s="566">
        <f t="shared" si="3"/>
        <v>101119200</v>
      </c>
      <c r="I18" s="566">
        <f t="shared" si="4"/>
        <v>972300</v>
      </c>
      <c r="J18" s="566">
        <f t="shared" si="5"/>
        <v>102091500</v>
      </c>
    </row>
    <row r="19" spans="1:10" s="328" customFormat="1" ht="16.5" customHeight="1" x14ac:dyDescent="0.25">
      <c r="A19" s="484" t="s">
        <v>526</v>
      </c>
      <c r="B19" s="564"/>
      <c r="C19" s="564"/>
      <c r="D19" s="564"/>
      <c r="E19" s="1160"/>
      <c r="F19" s="1160"/>
      <c r="G19" s="1160">
        <f t="shared" si="2"/>
        <v>0</v>
      </c>
      <c r="H19" s="566">
        <f t="shared" si="3"/>
        <v>0</v>
      </c>
      <c r="I19" s="566">
        <f t="shared" si="4"/>
        <v>0</v>
      </c>
      <c r="J19" s="566">
        <f t="shared" si="5"/>
        <v>0</v>
      </c>
    </row>
    <row r="20" spans="1:10" s="328" customFormat="1" ht="33.75" customHeight="1" x14ac:dyDescent="0.25">
      <c r="A20" s="489" t="s">
        <v>544</v>
      </c>
      <c r="B20" s="564">
        <v>3654000</v>
      </c>
      <c r="C20" s="564">
        <v>1188000</v>
      </c>
      <c r="D20" s="564">
        <f t="shared" ref="D20:D22" si="9">+C20+B20</f>
        <v>4842000</v>
      </c>
      <c r="E20" s="1160"/>
      <c r="F20" s="1160"/>
      <c r="G20" s="1160">
        <f t="shared" si="2"/>
        <v>0</v>
      </c>
      <c r="H20" s="566">
        <f t="shared" si="3"/>
        <v>3654000</v>
      </c>
      <c r="I20" s="566">
        <f t="shared" si="4"/>
        <v>1188000</v>
      </c>
      <c r="J20" s="566">
        <f t="shared" si="5"/>
        <v>4842000</v>
      </c>
    </row>
    <row r="21" spans="1:10" ht="16.5" customHeight="1" x14ac:dyDescent="0.25">
      <c r="A21" s="349" t="s">
        <v>855</v>
      </c>
      <c r="B21" s="822">
        <v>30968000</v>
      </c>
      <c r="C21" s="607"/>
      <c r="D21" s="822">
        <f t="shared" si="9"/>
        <v>30968000</v>
      </c>
      <c r="E21" s="605"/>
      <c r="F21" s="605"/>
      <c r="G21" s="605">
        <f t="shared" si="2"/>
        <v>0</v>
      </c>
      <c r="H21" s="464">
        <f t="shared" si="3"/>
        <v>30968000</v>
      </c>
      <c r="I21" s="464">
        <f t="shared" si="4"/>
        <v>0</v>
      </c>
      <c r="J21" s="464">
        <f t="shared" si="5"/>
        <v>30968000</v>
      </c>
    </row>
    <row r="22" spans="1:10" ht="16.5" customHeight="1" x14ac:dyDescent="0.25">
      <c r="A22" s="350" t="s">
        <v>854</v>
      </c>
      <c r="B22" s="822">
        <v>15484000</v>
      </c>
      <c r="C22" s="608"/>
      <c r="D22" s="822">
        <f t="shared" si="9"/>
        <v>15484000</v>
      </c>
      <c r="E22" s="1155"/>
      <c r="F22" s="1155"/>
      <c r="G22" s="1155">
        <f t="shared" si="2"/>
        <v>0</v>
      </c>
      <c r="H22" s="465">
        <f t="shared" si="3"/>
        <v>15484000</v>
      </c>
      <c r="I22" s="465">
        <f t="shared" si="4"/>
        <v>0</v>
      </c>
      <c r="J22" s="465">
        <f t="shared" si="5"/>
        <v>15484000</v>
      </c>
    </row>
    <row r="23" spans="1:10" s="328" customFormat="1" ht="29.25" customHeight="1" x14ac:dyDescent="0.25">
      <c r="A23" s="485" t="s">
        <v>654</v>
      </c>
      <c r="B23" s="564">
        <f>+B22+B21</f>
        <v>46452000</v>
      </c>
      <c r="C23" s="564">
        <f>SUM(C21:C22)</f>
        <v>0</v>
      </c>
      <c r="D23" s="564">
        <f t="shared" si="7"/>
        <v>46452000</v>
      </c>
      <c r="E23" s="1160">
        <f t="shared" ref="E23" si="10">SUM(E21:E22)</f>
        <v>0</v>
      </c>
      <c r="F23" s="1160"/>
      <c r="G23" s="1160">
        <f t="shared" si="2"/>
        <v>0</v>
      </c>
      <c r="H23" s="566">
        <f t="shared" si="3"/>
        <v>46452000</v>
      </c>
      <c r="I23" s="566">
        <f t="shared" si="4"/>
        <v>0</v>
      </c>
      <c r="J23" s="566">
        <f t="shared" si="5"/>
        <v>46452000</v>
      </c>
    </row>
    <row r="24" spans="1:10" ht="16.5" customHeight="1" x14ac:dyDescent="0.25">
      <c r="A24" s="349" t="s">
        <v>855</v>
      </c>
      <c r="B24" s="822">
        <v>15389200</v>
      </c>
      <c r="C24" s="607">
        <v>68180</v>
      </c>
      <c r="D24" s="607">
        <f>B24+C24</f>
        <v>15457380</v>
      </c>
      <c r="E24" s="605"/>
      <c r="F24" s="605"/>
      <c r="G24" s="605">
        <f t="shared" si="2"/>
        <v>0</v>
      </c>
      <c r="H24" s="464">
        <f t="shared" si="3"/>
        <v>15389200</v>
      </c>
      <c r="I24" s="464">
        <f t="shared" si="4"/>
        <v>68180</v>
      </c>
      <c r="J24" s="464">
        <f t="shared" si="5"/>
        <v>15457380</v>
      </c>
    </row>
    <row r="25" spans="1:10" ht="16.5" customHeight="1" x14ac:dyDescent="0.25">
      <c r="A25" s="350" t="s">
        <v>854</v>
      </c>
      <c r="B25" s="822">
        <v>7694600</v>
      </c>
      <c r="C25" s="608">
        <v>58440</v>
      </c>
      <c r="D25" s="607">
        <f>B25+C25</f>
        <v>7753040</v>
      </c>
      <c r="E25" s="1155"/>
      <c r="F25" s="1155"/>
      <c r="G25" s="1155">
        <f t="shared" si="2"/>
        <v>0</v>
      </c>
      <c r="H25" s="465">
        <f t="shared" si="3"/>
        <v>7694600</v>
      </c>
      <c r="I25" s="465">
        <f t="shared" si="4"/>
        <v>58440</v>
      </c>
      <c r="J25" s="465">
        <f t="shared" si="5"/>
        <v>7753040</v>
      </c>
    </row>
    <row r="26" spans="1:10" s="328" customFormat="1" ht="16.5" customHeight="1" x14ac:dyDescent="0.25">
      <c r="A26" s="484" t="s">
        <v>527</v>
      </c>
      <c r="B26" s="564">
        <f>+B24+B25</f>
        <v>23083800</v>
      </c>
      <c r="C26" s="564">
        <f t="shared" ref="C26" si="11">+C24+C25</f>
        <v>126620</v>
      </c>
      <c r="D26" s="564">
        <f t="shared" si="7"/>
        <v>23210420</v>
      </c>
      <c r="E26" s="1160">
        <f t="shared" ref="E26" si="12">+E24+E25</f>
        <v>0</v>
      </c>
      <c r="F26" s="1160"/>
      <c r="G26" s="1160">
        <f t="shared" si="2"/>
        <v>0</v>
      </c>
      <c r="H26" s="566">
        <f t="shared" si="3"/>
        <v>23083800</v>
      </c>
      <c r="I26" s="566">
        <f t="shared" si="4"/>
        <v>126620</v>
      </c>
      <c r="J26" s="566">
        <f t="shared" si="5"/>
        <v>23210420</v>
      </c>
    </row>
    <row r="27" spans="1:10" ht="16.5" customHeight="1" x14ac:dyDescent="0.25">
      <c r="A27" s="351" t="s">
        <v>528</v>
      </c>
      <c r="B27" s="822">
        <v>38296800</v>
      </c>
      <c r="C27" s="609"/>
      <c r="D27" s="609">
        <f>B27+C27</f>
        <v>38296800</v>
      </c>
      <c r="E27" s="1161"/>
      <c r="F27" s="1161"/>
      <c r="G27" s="1161">
        <f t="shared" si="2"/>
        <v>0</v>
      </c>
      <c r="H27" s="464">
        <f t="shared" si="3"/>
        <v>38296800</v>
      </c>
      <c r="I27" s="464">
        <f t="shared" si="4"/>
        <v>0</v>
      </c>
      <c r="J27" s="464">
        <f t="shared" si="5"/>
        <v>38296800</v>
      </c>
    </row>
    <row r="28" spans="1:10" ht="16.5" customHeight="1" x14ac:dyDescent="0.25">
      <c r="A28" s="353" t="s">
        <v>529</v>
      </c>
      <c r="B28" s="822">
        <v>41954466</v>
      </c>
      <c r="C28" s="611">
        <v>2957392</v>
      </c>
      <c r="D28" s="609">
        <f>B28+C28</f>
        <v>44911858</v>
      </c>
      <c r="E28" s="1162"/>
      <c r="F28" s="1162"/>
      <c r="G28" s="1162">
        <f t="shared" si="2"/>
        <v>0</v>
      </c>
      <c r="H28" s="465">
        <f t="shared" si="3"/>
        <v>41954466</v>
      </c>
      <c r="I28" s="465">
        <f t="shared" si="4"/>
        <v>2957392</v>
      </c>
      <c r="J28" s="465">
        <f t="shared" si="5"/>
        <v>44911858</v>
      </c>
    </row>
    <row r="29" spans="1:10" s="328" customFormat="1" ht="16.5" customHeight="1" thickBot="1" x14ac:dyDescent="0.3">
      <c r="A29" s="486" t="s">
        <v>530</v>
      </c>
      <c r="B29" s="610">
        <f t="shared" ref="B29:C29" si="13">SUM(B27:B28)</f>
        <v>80251266</v>
      </c>
      <c r="C29" s="610">
        <f t="shared" si="13"/>
        <v>2957392</v>
      </c>
      <c r="D29" s="610">
        <f t="shared" si="7"/>
        <v>83208658</v>
      </c>
      <c r="E29" s="1163">
        <f t="shared" ref="E29" si="14">SUM(E27:E28)</f>
        <v>0</v>
      </c>
      <c r="F29" s="1163"/>
      <c r="G29" s="1163">
        <f t="shared" si="2"/>
        <v>0</v>
      </c>
      <c r="H29" s="567">
        <f t="shared" si="3"/>
        <v>80251266</v>
      </c>
      <c r="I29" s="567">
        <f t="shared" si="4"/>
        <v>2957392</v>
      </c>
      <c r="J29" s="567">
        <f t="shared" si="5"/>
        <v>83208658</v>
      </c>
    </row>
    <row r="30" spans="1:10" ht="16.5" customHeight="1" thickBot="1" x14ac:dyDescent="0.3">
      <c r="A30" s="466" t="s">
        <v>531</v>
      </c>
      <c r="B30" s="360">
        <f>+B29+B26+B23+B20+B19+B18</f>
        <v>254560266</v>
      </c>
      <c r="C30" s="360">
        <f>+C29+C26+C23+C20+C19+C18</f>
        <v>5244312</v>
      </c>
      <c r="D30" s="606">
        <f t="shared" si="7"/>
        <v>259804578</v>
      </c>
      <c r="E30" s="1159">
        <f t="shared" ref="E30" si="15">+E29+E26+E23+E20+E19+E18</f>
        <v>0</v>
      </c>
      <c r="F30" s="1159"/>
      <c r="G30" s="1159">
        <f t="shared" si="2"/>
        <v>0</v>
      </c>
      <c r="H30" s="467">
        <f t="shared" si="3"/>
        <v>254560266</v>
      </c>
      <c r="I30" s="467">
        <f t="shared" si="4"/>
        <v>5244312</v>
      </c>
      <c r="J30" s="467">
        <f t="shared" si="5"/>
        <v>259804578</v>
      </c>
    </row>
    <row r="31" spans="1:10" ht="16.5" customHeight="1" x14ac:dyDescent="0.25">
      <c r="A31" s="357" t="s">
        <v>586</v>
      </c>
      <c r="B31" s="335"/>
      <c r="C31" s="335"/>
      <c r="D31" s="607">
        <f t="shared" si="7"/>
        <v>0</v>
      </c>
      <c r="E31" s="997">
        <v>21281000</v>
      </c>
      <c r="F31" s="605"/>
      <c r="G31" s="605">
        <f>E31+F31</f>
        <v>21281000</v>
      </c>
      <c r="H31" s="464">
        <f t="shared" si="3"/>
        <v>21281000</v>
      </c>
      <c r="I31" s="464">
        <f t="shared" si="4"/>
        <v>0</v>
      </c>
      <c r="J31" s="464">
        <f t="shared" si="5"/>
        <v>21281000</v>
      </c>
    </row>
    <row r="32" spans="1:10" ht="16.5" customHeight="1" x14ac:dyDescent="0.25">
      <c r="A32" s="357" t="s">
        <v>587</v>
      </c>
      <c r="B32" s="335"/>
      <c r="C32" s="335"/>
      <c r="D32" s="607">
        <f t="shared" si="7"/>
        <v>0</v>
      </c>
      <c r="E32" s="822">
        <v>16845642</v>
      </c>
      <c r="F32" s="605"/>
      <c r="G32" s="605">
        <f t="shared" ref="G32:G39" si="16">E32+F32</f>
        <v>16845642</v>
      </c>
      <c r="H32" s="464">
        <f t="shared" si="3"/>
        <v>16845642</v>
      </c>
      <c r="I32" s="464">
        <f t="shared" si="4"/>
        <v>0</v>
      </c>
      <c r="J32" s="464">
        <f t="shared" si="5"/>
        <v>16845642</v>
      </c>
    </row>
    <row r="33" spans="1:10" ht="16.5" customHeight="1" x14ac:dyDescent="0.25">
      <c r="A33" s="357" t="s">
        <v>588</v>
      </c>
      <c r="B33" s="488"/>
      <c r="C33" s="488"/>
      <c r="D33" s="1152">
        <f t="shared" si="7"/>
        <v>0</v>
      </c>
      <c r="E33" s="822">
        <v>966264</v>
      </c>
      <c r="F33" s="605">
        <v>148656</v>
      </c>
      <c r="G33" s="605">
        <f t="shared" si="16"/>
        <v>1114920</v>
      </c>
      <c r="H33" s="464">
        <f t="shared" si="3"/>
        <v>966264</v>
      </c>
      <c r="I33" s="464">
        <f t="shared" si="4"/>
        <v>148656</v>
      </c>
      <c r="J33" s="464">
        <f t="shared" si="5"/>
        <v>1114920</v>
      </c>
    </row>
    <row r="34" spans="1:10" ht="16.5" customHeight="1" x14ac:dyDescent="0.25">
      <c r="A34" s="337" t="s">
        <v>532</v>
      </c>
      <c r="B34" s="338"/>
      <c r="C34" s="338"/>
      <c r="D34" s="363">
        <f t="shared" si="7"/>
        <v>0</v>
      </c>
      <c r="E34" s="822">
        <v>27551800</v>
      </c>
      <c r="F34" s="364">
        <v>-491550</v>
      </c>
      <c r="G34" s="605">
        <f t="shared" si="16"/>
        <v>27060250</v>
      </c>
      <c r="H34" s="464">
        <f t="shared" si="3"/>
        <v>27551800</v>
      </c>
      <c r="I34" s="464">
        <f t="shared" si="4"/>
        <v>-491550</v>
      </c>
      <c r="J34" s="464">
        <f t="shared" si="5"/>
        <v>27060250</v>
      </c>
    </row>
    <row r="35" spans="1:10" ht="16.5" customHeight="1" x14ac:dyDescent="0.25">
      <c r="A35" s="337" t="s">
        <v>534</v>
      </c>
      <c r="B35" s="338"/>
      <c r="C35" s="338"/>
      <c r="D35" s="363">
        <f t="shared" si="7"/>
        <v>0</v>
      </c>
      <c r="E35" s="822">
        <v>0</v>
      </c>
      <c r="F35" s="364"/>
      <c r="G35" s="605">
        <f t="shared" si="16"/>
        <v>0</v>
      </c>
      <c r="H35" s="464">
        <f t="shared" si="3"/>
        <v>0</v>
      </c>
      <c r="I35" s="464">
        <f t="shared" si="4"/>
        <v>0</v>
      </c>
      <c r="J35" s="464">
        <f t="shared" si="5"/>
        <v>0</v>
      </c>
    </row>
    <row r="36" spans="1:10" ht="16.5" customHeight="1" x14ac:dyDescent="0.25">
      <c r="A36" s="337" t="s">
        <v>533</v>
      </c>
      <c r="B36" s="338"/>
      <c r="C36" s="338"/>
      <c r="D36" s="363">
        <f t="shared" si="7"/>
        <v>0</v>
      </c>
      <c r="E36" s="822">
        <v>4572000</v>
      </c>
      <c r="F36" s="364"/>
      <c r="G36" s="605">
        <f t="shared" si="16"/>
        <v>4572000</v>
      </c>
      <c r="H36" s="464">
        <f t="shared" si="3"/>
        <v>4572000</v>
      </c>
      <c r="I36" s="464">
        <f t="shared" si="4"/>
        <v>0</v>
      </c>
      <c r="J36" s="464">
        <f t="shared" si="5"/>
        <v>4572000</v>
      </c>
    </row>
    <row r="37" spans="1:10" ht="16.5" customHeight="1" x14ac:dyDescent="0.25">
      <c r="A37" s="337" t="s">
        <v>630</v>
      </c>
      <c r="B37" s="338"/>
      <c r="C37" s="338"/>
      <c r="D37" s="363">
        <f t="shared" si="7"/>
        <v>0</v>
      </c>
      <c r="E37" s="822">
        <v>15643600</v>
      </c>
      <c r="F37" s="364">
        <v>-1117400</v>
      </c>
      <c r="G37" s="605">
        <f t="shared" si="16"/>
        <v>14526200</v>
      </c>
      <c r="H37" s="464">
        <f t="shared" si="3"/>
        <v>15643600</v>
      </c>
      <c r="I37" s="464">
        <f t="shared" si="4"/>
        <v>-1117400</v>
      </c>
      <c r="J37" s="464">
        <f t="shared" si="5"/>
        <v>14526200</v>
      </c>
    </row>
    <row r="38" spans="1:10" ht="16.5" customHeight="1" x14ac:dyDescent="0.25">
      <c r="A38" s="337" t="s">
        <v>589</v>
      </c>
      <c r="B38" s="338"/>
      <c r="C38" s="338"/>
      <c r="D38" s="363">
        <f t="shared" si="7"/>
        <v>0</v>
      </c>
      <c r="E38" s="822">
        <v>12530400</v>
      </c>
      <c r="F38" s="364"/>
      <c r="G38" s="364">
        <f t="shared" si="16"/>
        <v>12530400</v>
      </c>
      <c r="H38" s="837">
        <f t="shared" si="3"/>
        <v>12530400</v>
      </c>
      <c r="I38" s="837">
        <f t="shared" si="4"/>
        <v>0</v>
      </c>
      <c r="J38" s="837">
        <f t="shared" si="5"/>
        <v>12530400</v>
      </c>
    </row>
    <row r="39" spans="1:10" ht="16.5" customHeight="1" x14ac:dyDescent="0.25">
      <c r="A39" s="474" t="s">
        <v>744</v>
      </c>
      <c r="B39" s="355"/>
      <c r="C39" s="355"/>
      <c r="D39" s="996"/>
      <c r="E39" s="822">
        <v>11438130</v>
      </c>
      <c r="F39" s="1164"/>
      <c r="G39" s="605">
        <f t="shared" si="16"/>
        <v>11438130</v>
      </c>
      <c r="H39" s="465">
        <f t="shared" si="3"/>
        <v>11438130</v>
      </c>
      <c r="I39" s="465"/>
      <c r="J39" s="465"/>
    </row>
    <row r="40" spans="1:10" s="328" customFormat="1" ht="16.5" customHeight="1" x14ac:dyDescent="0.25">
      <c r="A40" s="358" t="s">
        <v>535</v>
      </c>
      <c r="B40" s="347">
        <v>0</v>
      </c>
      <c r="C40" s="347"/>
      <c r="D40" s="564">
        <f t="shared" si="7"/>
        <v>0</v>
      </c>
      <c r="E40" s="1160">
        <f>SUM(E31:E39)</f>
        <v>110828836</v>
      </c>
      <c r="F40" s="1160">
        <f>SUM(F31:F39)</f>
        <v>-1460294</v>
      </c>
      <c r="G40" s="1160">
        <f t="shared" si="2"/>
        <v>109368542</v>
      </c>
      <c r="H40" s="566">
        <f t="shared" si="3"/>
        <v>110828836</v>
      </c>
      <c r="I40" s="566">
        <f t="shared" si="4"/>
        <v>-1460294</v>
      </c>
      <c r="J40" s="566">
        <f t="shared" si="5"/>
        <v>109368542</v>
      </c>
    </row>
    <row r="41" spans="1:10" s="328" customFormat="1" ht="16.5" customHeight="1" x14ac:dyDescent="0.25">
      <c r="A41" s="358" t="s">
        <v>585</v>
      </c>
      <c r="B41" s="932">
        <v>154230</v>
      </c>
      <c r="C41" s="564">
        <v>-5820</v>
      </c>
      <c r="D41" s="564">
        <f>B41+C41</f>
        <v>148410</v>
      </c>
      <c r="E41" s="1160"/>
      <c r="F41" s="1160"/>
      <c r="G41" s="1160">
        <f t="shared" si="2"/>
        <v>0</v>
      </c>
      <c r="H41" s="566">
        <f t="shared" si="3"/>
        <v>154230</v>
      </c>
      <c r="I41" s="566">
        <f t="shared" si="4"/>
        <v>-5820</v>
      </c>
      <c r="J41" s="566">
        <f t="shared" si="5"/>
        <v>148410</v>
      </c>
    </row>
    <row r="42" spans="1:10" s="328" customFormat="1" ht="29.25" customHeight="1" x14ac:dyDescent="0.25">
      <c r="A42" s="346" t="s">
        <v>523</v>
      </c>
      <c r="B42" s="564">
        <v>13139000</v>
      </c>
      <c r="C42" s="564"/>
      <c r="D42" s="564">
        <f t="shared" ref="D42:D47" si="17">B42+C42</f>
        <v>13139000</v>
      </c>
      <c r="E42" s="1160"/>
      <c r="F42" s="1160"/>
      <c r="G42" s="1160">
        <f t="shared" si="2"/>
        <v>0</v>
      </c>
      <c r="H42" s="566">
        <f t="shared" si="3"/>
        <v>13139000</v>
      </c>
      <c r="I42" s="566">
        <f t="shared" si="4"/>
        <v>0</v>
      </c>
      <c r="J42" s="566">
        <f t="shared" si="5"/>
        <v>13139000</v>
      </c>
    </row>
    <row r="43" spans="1:10" s="328" customFormat="1" ht="30.75" customHeight="1" x14ac:dyDescent="0.25">
      <c r="A43" s="346" t="s">
        <v>536</v>
      </c>
      <c r="B43" s="564">
        <v>12688912</v>
      </c>
      <c r="C43" s="564"/>
      <c r="D43" s="564">
        <f t="shared" si="17"/>
        <v>12688912</v>
      </c>
      <c r="E43" s="1160"/>
      <c r="F43" s="1160"/>
      <c r="G43" s="1160">
        <f t="shared" si="2"/>
        <v>0</v>
      </c>
      <c r="H43" s="566">
        <f t="shared" si="3"/>
        <v>12688912</v>
      </c>
      <c r="I43" s="566">
        <f t="shared" si="4"/>
        <v>0</v>
      </c>
      <c r="J43" s="566">
        <f t="shared" si="5"/>
        <v>12688912</v>
      </c>
    </row>
    <row r="44" spans="1:10" s="328" customFormat="1" ht="16.5" customHeight="1" x14ac:dyDescent="0.25">
      <c r="A44" s="346" t="s">
        <v>936</v>
      </c>
      <c r="B44" s="347">
        <v>144000</v>
      </c>
      <c r="C44" s="347"/>
      <c r="D44" s="564">
        <f t="shared" si="17"/>
        <v>144000</v>
      </c>
      <c r="E44" s="1160"/>
      <c r="F44" s="1160"/>
      <c r="G44" s="1160">
        <f t="shared" si="2"/>
        <v>0</v>
      </c>
      <c r="H44" s="566">
        <f t="shared" si="3"/>
        <v>144000</v>
      </c>
      <c r="I44" s="566">
        <f t="shared" si="4"/>
        <v>0</v>
      </c>
      <c r="J44" s="566">
        <f t="shared" si="5"/>
        <v>144000</v>
      </c>
    </row>
    <row r="45" spans="1:10" s="328" customFormat="1" ht="16.5" customHeight="1" x14ac:dyDescent="0.25">
      <c r="A45" s="358" t="s">
        <v>926</v>
      </c>
      <c r="B45" s="347">
        <v>56087160</v>
      </c>
      <c r="C45" s="347"/>
      <c r="D45" s="564">
        <f t="shared" si="17"/>
        <v>56087160</v>
      </c>
      <c r="E45" s="1160"/>
      <c r="F45" s="1160"/>
      <c r="G45" s="1160">
        <f t="shared" si="2"/>
        <v>0</v>
      </c>
      <c r="H45" s="566">
        <f t="shared" si="3"/>
        <v>56087160</v>
      </c>
      <c r="I45" s="566">
        <f t="shared" si="4"/>
        <v>0</v>
      </c>
      <c r="J45" s="566">
        <f t="shared" si="5"/>
        <v>56087160</v>
      </c>
    </row>
    <row r="46" spans="1:10" s="328" customFormat="1" ht="16.5" customHeight="1" x14ac:dyDescent="0.25">
      <c r="A46" s="468" t="s">
        <v>927</v>
      </c>
      <c r="B46" s="469">
        <v>5332597</v>
      </c>
      <c r="C46" s="469"/>
      <c r="D46" s="564">
        <f t="shared" si="17"/>
        <v>5332597</v>
      </c>
      <c r="E46" s="1165"/>
      <c r="F46" s="1165"/>
      <c r="G46" s="1160">
        <f t="shared" si="2"/>
        <v>0</v>
      </c>
      <c r="H46" s="566">
        <f t="shared" si="3"/>
        <v>5332597</v>
      </c>
      <c r="I46" s="566">
        <f t="shared" si="4"/>
        <v>0</v>
      </c>
      <c r="J46" s="566">
        <f t="shared" si="5"/>
        <v>5332597</v>
      </c>
    </row>
    <row r="47" spans="1:10" s="328" customFormat="1" ht="16.5" customHeight="1" thickBot="1" x14ac:dyDescent="0.3">
      <c r="A47" s="468" t="s">
        <v>786</v>
      </c>
      <c r="B47" s="469"/>
      <c r="C47" s="469"/>
      <c r="D47" s="564">
        <f t="shared" si="17"/>
        <v>0</v>
      </c>
      <c r="E47" s="1165">
        <v>13462076</v>
      </c>
      <c r="F47" s="1165"/>
      <c r="G47" s="1160">
        <f t="shared" si="2"/>
        <v>13462076</v>
      </c>
      <c r="H47" s="566">
        <f t="shared" si="3"/>
        <v>13462076</v>
      </c>
      <c r="I47" s="567">
        <f t="shared" si="4"/>
        <v>0</v>
      </c>
      <c r="J47" s="567">
        <f t="shared" si="5"/>
        <v>13462076</v>
      </c>
    </row>
    <row r="48" spans="1:10" s="328" customFormat="1" ht="16.5" customHeight="1" thickBot="1" x14ac:dyDescent="0.3">
      <c r="A48" s="359" t="s">
        <v>542</v>
      </c>
      <c r="B48" s="360">
        <f>+B44+B43+B42+B30+B15+B41+B45+B46+B47</f>
        <v>506465267</v>
      </c>
      <c r="C48" s="360">
        <f t="shared" ref="C48:D48" si="18">+C44+C43+C42+C30+C15+C41+C45+C46+C47</f>
        <v>5238492</v>
      </c>
      <c r="D48" s="606">
        <f t="shared" si="18"/>
        <v>511703759</v>
      </c>
      <c r="E48" s="1159">
        <f>+E40+E30+E47+E15</f>
        <v>124290912</v>
      </c>
      <c r="F48" s="1159">
        <f>+F40+F30+F47+F15</f>
        <v>-1460294</v>
      </c>
      <c r="G48" s="1159">
        <f>+G40+G30+G47+G15</f>
        <v>122830618</v>
      </c>
      <c r="H48" s="467">
        <f t="shared" si="3"/>
        <v>630756179</v>
      </c>
      <c r="I48" s="467">
        <f t="shared" si="4"/>
        <v>3778198</v>
      </c>
      <c r="J48" s="467">
        <f t="shared" si="5"/>
        <v>634534377</v>
      </c>
    </row>
    <row r="49" spans="5:7" hidden="1" x14ac:dyDescent="0.25"/>
    <row r="50" spans="5:7" hidden="1" x14ac:dyDescent="0.25"/>
    <row r="51" spans="5:7" hidden="1" x14ac:dyDescent="0.25">
      <c r="E51" s="1166"/>
      <c r="F51" s="1166"/>
      <c r="G51" s="1166"/>
    </row>
    <row r="52" spans="5:7" ht="25.5" hidden="1" customHeight="1" x14ac:dyDescent="0.25">
      <c r="E52" s="1167"/>
      <c r="F52" s="1167"/>
      <c r="G52" s="1167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1166"/>
      <c r="F57" s="1166"/>
      <c r="G57" s="1166"/>
    </row>
    <row r="58" spans="5:7" ht="12.75" hidden="1" customHeight="1" x14ac:dyDescent="0.25">
      <c r="E58" s="1167"/>
      <c r="F58" s="1167"/>
      <c r="G58" s="1167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27" t="s">
        <v>545</v>
      </c>
    </row>
    <row r="67" spans="1:10" ht="25.5" hidden="1" x14ac:dyDescent="0.25">
      <c r="B67" s="329" t="s">
        <v>546</v>
      </c>
      <c r="D67" s="1153" t="s">
        <v>546</v>
      </c>
      <c r="E67" s="1168"/>
      <c r="F67" s="1168"/>
      <c r="G67" s="1168"/>
      <c r="H67" s="328" t="s">
        <v>547</v>
      </c>
      <c r="J67" s="328" t="s">
        <v>547</v>
      </c>
    </row>
    <row r="68" spans="1:10" hidden="1" x14ac:dyDescent="0.25">
      <c r="B68" s="329">
        <v>26</v>
      </c>
      <c r="D68" s="1153">
        <v>26</v>
      </c>
      <c r="H68" s="328" t="e">
        <f>+#REF!+E68</f>
        <v>#REF!</v>
      </c>
      <c r="J68" s="328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28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61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27" bestFit="1" customWidth="1"/>
    <col min="2" max="4" width="12.7109375" style="329" customWidth="1"/>
    <col min="5" max="7" width="14.28515625" style="327" customWidth="1"/>
    <col min="8" max="10" width="14.28515625" style="328" customWidth="1"/>
    <col min="11" max="16384" width="9.140625" style="327"/>
  </cols>
  <sheetData>
    <row r="1" spans="1:10" ht="53.25" customHeight="1" x14ac:dyDescent="0.25">
      <c r="A1" s="1203" t="s">
        <v>518</v>
      </c>
      <c r="B1" s="1205" t="s">
        <v>582</v>
      </c>
      <c r="C1" s="1205"/>
      <c r="D1" s="1206"/>
      <c r="E1" s="1205" t="s">
        <v>583</v>
      </c>
      <c r="F1" s="1205"/>
      <c r="G1" s="1205"/>
      <c r="H1" s="1208" t="s">
        <v>781</v>
      </c>
      <c r="I1" s="1208" t="s">
        <v>777</v>
      </c>
      <c r="J1" s="1208" t="s">
        <v>782</v>
      </c>
    </row>
    <row r="2" spans="1:10" s="328" customFormat="1" ht="39.75" customHeight="1" x14ac:dyDescent="0.25">
      <c r="A2" s="1204"/>
      <c r="B2" s="333" t="s">
        <v>781</v>
      </c>
      <c r="C2" s="333" t="s">
        <v>777</v>
      </c>
      <c r="D2" s="333" t="s">
        <v>782</v>
      </c>
      <c r="E2" s="333" t="s">
        <v>781</v>
      </c>
      <c r="F2" s="333" t="s">
        <v>777</v>
      </c>
      <c r="G2" s="333" t="s">
        <v>782</v>
      </c>
      <c r="H2" s="1209"/>
      <c r="I2" s="1209"/>
      <c r="J2" s="1209"/>
    </row>
    <row r="3" spans="1:10" ht="16.5" customHeight="1" x14ac:dyDescent="0.25">
      <c r="A3" s="334" t="s">
        <v>519</v>
      </c>
      <c r="B3" s="607">
        <v>101035</v>
      </c>
      <c r="C3" s="607"/>
      <c r="D3" s="607">
        <f>B3+C3</f>
        <v>101035</v>
      </c>
      <c r="E3" s="336">
        <v>0</v>
      </c>
      <c r="F3" s="336"/>
      <c r="G3" s="336">
        <f>+F3+E3</f>
        <v>0</v>
      </c>
      <c r="H3" s="464">
        <f>+B3+E3</f>
        <v>101035</v>
      </c>
      <c r="I3" s="464">
        <f t="shared" ref="I3:J19" si="0">+C3+F3</f>
        <v>0</v>
      </c>
      <c r="J3" s="464">
        <f t="shared" si="0"/>
        <v>101035</v>
      </c>
    </row>
    <row r="4" spans="1:10" ht="16.5" customHeight="1" x14ac:dyDescent="0.25">
      <c r="A4" s="337" t="s">
        <v>520</v>
      </c>
      <c r="B4" s="338">
        <v>25369</v>
      </c>
      <c r="C4" s="338"/>
      <c r="D4" s="607">
        <f t="shared" ref="D4:D14" si="1">B4+C4</f>
        <v>25369</v>
      </c>
      <c r="E4" s="339">
        <v>0</v>
      </c>
      <c r="F4" s="339"/>
      <c r="G4" s="339">
        <f t="shared" ref="G4:G47" si="2">+F4+E4</f>
        <v>0</v>
      </c>
      <c r="H4" s="464">
        <f t="shared" ref="H4:J48" si="3">+B4+E4</f>
        <v>25369</v>
      </c>
      <c r="I4" s="464">
        <f t="shared" si="0"/>
        <v>0</v>
      </c>
      <c r="J4" s="464">
        <f t="shared" si="0"/>
        <v>25369</v>
      </c>
    </row>
    <row r="5" spans="1:10" s="365" customFormat="1" ht="16.5" customHeight="1" x14ac:dyDescent="0.25">
      <c r="A5" s="362" t="s">
        <v>548</v>
      </c>
      <c r="B5" s="363">
        <v>7910</v>
      </c>
      <c r="C5" s="363"/>
      <c r="D5" s="607">
        <f t="shared" si="1"/>
        <v>7910</v>
      </c>
      <c r="E5" s="364">
        <v>0</v>
      </c>
      <c r="F5" s="364"/>
      <c r="G5" s="364">
        <f t="shared" si="2"/>
        <v>0</v>
      </c>
      <c r="H5" s="464">
        <f t="shared" si="3"/>
        <v>7910</v>
      </c>
      <c r="I5" s="464">
        <f t="shared" si="0"/>
        <v>0</v>
      </c>
      <c r="J5" s="464">
        <f t="shared" si="0"/>
        <v>7910</v>
      </c>
    </row>
    <row r="6" spans="1:10" s="365" customFormat="1" ht="16.5" customHeight="1" x14ac:dyDescent="0.25">
      <c r="A6" s="362" t="s">
        <v>550</v>
      </c>
      <c r="B6" s="363">
        <v>10880</v>
      </c>
      <c r="C6" s="363"/>
      <c r="D6" s="607">
        <f t="shared" si="1"/>
        <v>10880</v>
      </c>
      <c r="E6" s="364">
        <v>0</v>
      </c>
      <c r="F6" s="364"/>
      <c r="G6" s="364">
        <f t="shared" si="2"/>
        <v>0</v>
      </c>
      <c r="H6" s="464">
        <f t="shared" si="3"/>
        <v>10880</v>
      </c>
      <c r="I6" s="464">
        <f t="shared" si="0"/>
        <v>0</v>
      </c>
      <c r="J6" s="464">
        <f t="shared" si="0"/>
        <v>10880</v>
      </c>
    </row>
    <row r="7" spans="1:10" s="365" customFormat="1" ht="16.5" customHeight="1" x14ac:dyDescent="0.25">
      <c r="A7" s="362" t="s">
        <v>551</v>
      </c>
      <c r="B7" s="363">
        <v>1540</v>
      </c>
      <c r="C7" s="363"/>
      <c r="D7" s="607">
        <f t="shared" si="1"/>
        <v>1540</v>
      </c>
      <c r="E7" s="364">
        <v>0</v>
      </c>
      <c r="F7" s="364"/>
      <c r="G7" s="364">
        <f t="shared" si="2"/>
        <v>0</v>
      </c>
      <c r="H7" s="464">
        <f t="shared" si="3"/>
        <v>1540</v>
      </c>
      <c r="I7" s="464">
        <f t="shared" si="0"/>
        <v>0</v>
      </c>
      <c r="J7" s="464">
        <f t="shared" si="0"/>
        <v>1540</v>
      </c>
    </row>
    <row r="8" spans="1:10" s="365" customFormat="1" ht="16.5" customHeight="1" x14ac:dyDescent="0.25">
      <c r="A8" s="362" t="s">
        <v>549</v>
      </c>
      <c r="B8" s="363">
        <v>5039</v>
      </c>
      <c r="C8" s="363"/>
      <c r="D8" s="607">
        <f t="shared" si="1"/>
        <v>5039</v>
      </c>
      <c r="E8" s="364">
        <v>0</v>
      </c>
      <c r="F8" s="364"/>
      <c r="G8" s="364">
        <f t="shared" si="2"/>
        <v>0</v>
      </c>
      <c r="H8" s="464">
        <f t="shared" si="3"/>
        <v>5039</v>
      </c>
      <c r="I8" s="464">
        <f t="shared" si="0"/>
        <v>0</v>
      </c>
      <c r="J8" s="464">
        <f t="shared" si="0"/>
        <v>5039</v>
      </c>
    </row>
    <row r="9" spans="1:10" ht="26.25" customHeight="1" x14ac:dyDescent="0.25">
      <c r="A9" s="490" t="s">
        <v>521</v>
      </c>
      <c r="B9" s="491">
        <v>15541</v>
      </c>
      <c r="C9" s="491"/>
      <c r="D9" s="607">
        <f t="shared" si="1"/>
        <v>15541</v>
      </c>
      <c r="E9" s="492">
        <v>0</v>
      </c>
      <c r="F9" s="492"/>
      <c r="G9" s="492">
        <f t="shared" si="2"/>
        <v>0</v>
      </c>
      <c r="H9" s="565">
        <f t="shared" si="3"/>
        <v>15541</v>
      </c>
      <c r="I9" s="565">
        <f t="shared" si="0"/>
        <v>0</v>
      </c>
      <c r="J9" s="565">
        <f t="shared" si="0"/>
        <v>15541</v>
      </c>
    </row>
    <row r="10" spans="1:10" ht="16.5" customHeight="1" x14ac:dyDescent="0.25">
      <c r="A10" s="340" t="s">
        <v>522</v>
      </c>
      <c r="B10" s="341">
        <v>-22204</v>
      </c>
      <c r="C10" s="341"/>
      <c r="D10" s="832">
        <f t="shared" si="1"/>
        <v>-22204</v>
      </c>
      <c r="E10" s="342">
        <v>0</v>
      </c>
      <c r="F10" s="342"/>
      <c r="G10" s="342">
        <f t="shared" si="2"/>
        <v>0</v>
      </c>
      <c r="H10" s="566">
        <f t="shared" si="3"/>
        <v>-22204</v>
      </c>
      <c r="I10" s="566">
        <f t="shared" si="0"/>
        <v>0</v>
      </c>
      <c r="J10" s="566">
        <f t="shared" si="0"/>
        <v>-22204</v>
      </c>
    </row>
    <row r="11" spans="1:10" s="328" customFormat="1" ht="16.5" customHeight="1" x14ac:dyDescent="0.25">
      <c r="A11" s="343" t="s">
        <v>537</v>
      </c>
      <c r="B11" s="344">
        <v>0</v>
      </c>
      <c r="C11" s="344"/>
      <c r="D11" s="822">
        <f t="shared" si="1"/>
        <v>0</v>
      </c>
      <c r="E11" s="345">
        <v>0</v>
      </c>
      <c r="F11" s="345"/>
      <c r="G11" s="345">
        <f t="shared" si="2"/>
        <v>0</v>
      </c>
      <c r="H11" s="566">
        <f t="shared" si="3"/>
        <v>0</v>
      </c>
      <c r="I11" s="566">
        <f t="shared" si="0"/>
        <v>0</v>
      </c>
      <c r="J11" s="566">
        <f t="shared" si="0"/>
        <v>0</v>
      </c>
    </row>
    <row r="12" spans="1:10" s="328" customFormat="1" ht="16.5" customHeight="1" x14ac:dyDescent="0.25">
      <c r="A12" s="471" t="s">
        <v>539</v>
      </c>
      <c r="B12" s="472">
        <v>905</v>
      </c>
      <c r="C12" s="472"/>
      <c r="D12" s="822">
        <f t="shared" si="1"/>
        <v>905</v>
      </c>
      <c r="E12" s="473">
        <v>0</v>
      </c>
      <c r="F12" s="473"/>
      <c r="G12" s="473">
        <f t="shared" si="2"/>
        <v>0</v>
      </c>
      <c r="H12" s="566">
        <f t="shared" si="3"/>
        <v>905</v>
      </c>
      <c r="I12" s="566">
        <f t="shared" si="0"/>
        <v>0</v>
      </c>
      <c r="J12" s="566">
        <f t="shared" si="0"/>
        <v>905</v>
      </c>
    </row>
    <row r="13" spans="1:10" s="328" customFormat="1" ht="16.5" customHeight="1" x14ac:dyDescent="0.25">
      <c r="A13" s="471" t="s">
        <v>541</v>
      </c>
      <c r="B13" s="472"/>
      <c r="C13" s="472">
        <v>120</v>
      </c>
      <c r="D13" s="822">
        <f t="shared" si="1"/>
        <v>120</v>
      </c>
      <c r="E13" s="473"/>
      <c r="F13" s="473">
        <v>289</v>
      </c>
      <c r="G13" s="473">
        <f t="shared" si="2"/>
        <v>289</v>
      </c>
      <c r="H13" s="566">
        <f t="shared" si="3"/>
        <v>0</v>
      </c>
      <c r="I13" s="566">
        <f t="shared" si="0"/>
        <v>409</v>
      </c>
      <c r="J13" s="566">
        <f t="shared" si="0"/>
        <v>409</v>
      </c>
    </row>
    <row r="14" spans="1:10" s="328" customFormat="1" ht="16.5" customHeight="1" thickBot="1" x14ac:dyDescent="0.3">
      <c r="A14" s="612" t="s">
        <v>673</v>
      </c>
      <c r="B14" s="613">
        <v>1682</v>
      </c>
      <c r="C14" s="613"/>
      <c r="D14" s="836">
        <f t="shared" si="1"/>
        <v>1682</v>
      </c>
      <c r="E14" s="614"/>
      <c r="F14" s="614"/>
      <c r="G14" s="614">
        <f t="shared" si="2"/>
        <v>0</v>
      </c>
      <c r="H14" s="567">
        <f t="shared" si="3"/>
        <v>1682</v>
      </c>
      <c r="I14" s="567">
        <f t="shared" si="0"/>
        <v>0</v>
      </c>
      <c r="J14" s="567">
        <f t="shared" si="0"/>
        <v>1682</v>
      </c>
    </row>
    <row r="15" spans="1:10" s="328" customFormat="1" ht="13.5" thickBot="1" x14ac:dyDescent="0.3">
      <c r="A15" s="466" t="s">
        <v>524</v>
      </c>
      <c r="B15" s="606">
        <f>+B3+B4+B9+B10+B11+B12+B14+B13</f>
        <v>122328</v>
      </c>
      <c r="C15" s="606">
        <f>+C3+C4+C9+C10+C11+C12+C14+C13</f>
        <v>120</v>
      </c>
      <c r="D15" s="606">
        <f>+C15+B15</f>
        <v>122448</v>
      </c>
      <c r="E15" s="606">
        <f>+E3+E4+E9+E10+E11+E12+E14+E13</f>
        <v>0</v>
      </c>
      <c r="F15" s="606">
        <f>+F3+F4+F9+F10+F11+F12+F14+F13</f>
        <v>289</v>
      </c>
      <c r="G15" s="606">
        <f>+F15+E15</f>
        <v>289</v>
      </c>
      <c r="H15" s="606">
        <f t="shared" si="3"/>
        <v>122328</v>
      </c>
      <c r="I15" s="606">
        <f t="shared" si="0"/>
        <v>409</v>
      </c>
      <c r="J15" s="838">
        <f>+D15+G15</f>
        <v>122737</v>
      </c>
    </row>
    <row r="16" spans="1:10" ht="16.5" customHeight="1" x14ac:dyDescent="0.25">
      <c r="A16" s="349" t="s">
        <v>783</v>
      </c>
      <c r="B16" s="607">
        <v>62950</v>
      </c>
      <c r="C16" s="607"/>
      <c r="D16" s="607">
        <f>B16+C16</f>
        <v>62950</v>
      </c>
      <c r="E16" s="336"/>
      <c r="F16" s="336"/>
      <c r="G16" s="336">
        <f t="shared" si="2"/>
        <v>0</v>
      </c>
      <c r="H16" s="464">
        <f t="shared" si="3"/>
        <v>62950</v>
      </c>
      <c r="I16" s="464">
        <f t="shared" si="0"/>
        <v>0</v>
      </c>
      <c r="J16" s="464">
        <f t="shared" si="0"/>
        <v>62950</v>
      </c>
    </row>
    <row r="17" spans="1:10" ht="16.5" customHeight="1" x14ac:dyDescent="0.25">
      <c r="A17" s="350" t="s">
        <v>784</v>
      </c>
      <c r="B17" s="608">
        <v>30746</v>
      </c>
      <c r="C17" s="608"/>
      <c r="D17" s="607">
        <f>B17+C17</f>
        <v>30746</v>
      </c>
      <c r="E17" s="342"/>
      <c r="F17" s="342"/>
      <c r="G17" s="342">
        <f t="shared" si="2"/>
        <v>0</v>
      </c>
      <c r="H17" s="465">
        <f t="shared" si="3"/>
        <v>30746</v>
      </c>
      <c r="I17" s="465">
        <f t="shared" si="0"/>
        <v>0</v>
      </c>
      <c r="J17" s="465">
        <f t="shared" si="0"/>
        <v>30746</v>
      </c>
    </row>
    <row r="18" spans="1:10" s="328" customFormat="1" ht="16.5" customHeight="1" x14ac:dyDescent="0.25">
      <c r="A18" s="484" t="s">
        <v>525</v>
      </c>
      <c r="B18" s="564">
        <f>SUM(B16:B17)</f>
        <v>93696</v>
      </c>
      <c r="C18" s="564">
        <f>SUM(C16:C17)</f>
        <v>0</v>
      </c>
      <c r="D18" s="564">
        <f t="shared" ref="D18:D40" si="4">+C18+B18</f>
        <v>93696</v>
      </c>
      <c r="E18" s="347">
        <f t="shared" ref="E18" si="5">SUM(E16:E17)</f>
        <v>0</v>
      </c>
      <c r="F18" s="347"/>
      <c r="G18" s="347">
        <f t="shared" si="2"/>
        <v>0</v>
      </c>
      <c r="H18" s="566">
        <f t="shared" si="3"/>
        <v>93696</v>
      </c>
      <c r="I18" s="566">
        <f t="shared" si="0"/>
        <v>0</v>
      </c>
      <c r="J18" s="566">
        <f t="shared" si="0"/>
        <v>93696</v>
      </c>
    </row>
    <row r="19" spans="1:10" s="328" customFormat="1" ht="16.5" customHeight="1" x14ac:dyDescent="0.25">
      <c r="A19" s="484" t="s">
        <v>526</v>
      </c>
      <c r="B19" s="564"/>
      <c r="C19" s="564"/>
      <c r="D19" s="564"/>
      <c r="E19" s="348"/>
      <c r="F19" s="348"/>
      <c r="G19" s="348">
        <f t="shared" si="2"/>
        <v>0</v>
      </c>
      <c r="H19" s="566">
        <f t="shared" si="3"/>
        <v>0</v>
      </c>
      <c r="I19" s="566">
        <f t="shared" si="0"/>
        <v>0</v>
      </c>
      <c r="J19" s="566">
        <f t="shared" si="0"/>
        <v>0</v>
      </c>
    </row>
    <row r="20" spans="1:10" s="328" customFormat="1" ht="33.75" customHeight="1" x14ac:dyDescent="0.25">
      <c r="A20" s="489" t="s">
        <v>544</v>
      </c>
      <c r="B20" s="564">
        <v>1190</v>
      </c>
      <c r="C20" s="564"/>
      <c r="D20" s="564">
        <f t="shared" ref="D20:D22" si="6">+C20+B20</f>
        <v>1190</v>
      </c>
      <c r="E20" s="348"/>
      <c r="F20" s="348"/>
      <c r="G20" s="348">
        <f t="shared" si="2"/>
        <v>0</v>
      </c>
      <c r="H20" s="566">
        <f t="shared" si="3"/>
        <v>1190</v>
      </c>
      <c r="I20" s="566">
        <f t="shared" si="3"/>
        <v>0</v>
      </c>
      <c r="J20" s="566">
        <f t="shared" si="3"/>
        <v>1190</v>
      </c>
    </row>
    <row r="21" spans="1:10" ht="16.5" customHeight="1" x14ac:dyDescent="0.25">
      <c r="A21" s="349" t="s">
        <v>785</v>
      </c>
      <c r="B21" s="607">
        <v>20580</v>
      </c>
      <c r="C21" s="607"/>
      <c r="D21" s="822">
        <f t="shared" si="6"/>
        <v>20580</v>
      </c>
      <c r="E21" s="336"/>
      <c r="F21" s="336"/>
      <c r="G21" s="336">
        <f t="shared" si="2"/>
        <v>0</v>
      </c>
      <c r="H21" s="464">
        <f t="shared" si="3"/>
        <v>20580</v>
      </c>
      <c r="I21" s="464">
        <f t="shared" si="3"/>
        <v>0</v>
      </c>
      <c r="J21" s="464">
        <f t="shared" si="3"/>
        <v>20580</v>
      </c>
    </row>
    <row r="22" spans="1:10" ht="16.5" customHeight="1" x14ac:dyDescent="0.25">
      <c r="A22" s="350" t="s">
        <v>784</v>
      </c>
      <c r="B22" s="608">
        <v>10290</v>
      </c>
      <c r="C22" s="608"/>
      <c r="D22" s="822">
        <f t="shared" si="6"/>
        <v>10290</v>
      </c>
      <c r="E22" s="342"/>
      <c r="F22" s="342"/>
      <c r="G22" s="342">
        <f t="shared" si="2"/>
        <v>0</v>
      </c>
      <c r="H22" s="465">
        <f t="shared" si="3"/>
        <v>10290</v>
      </c>
      <c r="I22" s="465">
        <f t="shared" si="3"/>
        <v>0</v>
      </c>
      <c r="J22" s="465">
        <f t="shared" si="3"/>
        <v>10290</v>
      </c>
    </row>
    <row r="23" spans="1:10" s="328" customFormat="1" ht="29.25" customHeight="1" x14ac:dyDescent="0.25">
      <c r="A23" s="485" t="s">
        <v>654</v>
      </c>
      <c r="B23" s="564">
        <f>SUM(B21:B22)</f>
        <v>30870</v>
      </c>
      <c r="C23" s="564">
        <f>SUM(C21:C22)</f>
        <v>0</v>
      </c>
      <c r="D23" s="564">
        <f t="shared" si="4"/>
        <v>30870</v>
      </c>
      <c r="E23" s="348">
        <f t="shared" ref="E23" si="7">SUM(E21:E22)</f>
        <v>0</v>
      </c>
      <c r="F23" s="348"/>
      <c r="G23" s="348">
        <f t="shared" si="2"/>
        <v>0</v>
      </c>
      <c r="H23" s="566">
        <f t="shared" si="3"/>
        <v>30870</v>
      </c>
      <c r="I23" s="566">
        <f t="shared" si="3"/>
        <v>0</v>
      </c>
      <c r="J23" s="566">
        <f t="shared" si="3"/>
        <v>30870</v>
      </c>
    </row>
    <row r="24" spans="1:10" ht="16.5" customHeight="1" x14ac:dyDescent="0.25">
      <c r="A24" s="349" t="s">
        <v>785</v>
      </c>
      <c r="B24" s="607">
        <v>15389</v>
      </c>
      <c r="C24" s="607"/>
      <c r="D24" s="607">
        <f>B24+C24</f>
        <v>15389</v>
      </c>
      <c r="E24" s="336"/>
      <c r="F24" s="336"/>
      <c r="G24" s="336">
        <f t="shared" si="2"/>
        <v>0</v>
      </c>
      <c r="H24" s="464">
        <f t="shared" si="3"/>
        <v>15389</v>
      </c>
      <c r="I24" s="464">
        <f t="shared" si="3"/>
        <v>0</v>
      </c>
      <c r="J24" s="464">
        <f t="shared" si="3"/>
        <v>15389</v>
      </c>
    </row>
    <row r="25" spans="1:10" ht="16.5" customHeight="1" x14ac:dyDescent="0.25">
      <c r="A25" s="350" t="s">
        <v>784</v>
      </c>
      <c r="B25" s="608">
        <v>7695</v>
      </c>
      <c r="C25" s="608"/>
      <c r="D25" s="607">
        <f>B25+C25</f>
        <v>7695</v>
      </c>
      <c r="E25" s="342"/>
      <c r="F25" s="342"/>
      <c r="G25" s="342">
        <f t="shared" si="2"/>
        <v>0</v>
      </c>
      <c r="H25" s="465">
        <f t="shared" si="3"/>
        <v>7695</v>
      </c>
      <c r="I25" s="465">
        <f t="shared" si="3"/>
        <v>0</v>
      </c>
      <c r="J25" s="465">
        <f t="shared" si="3"/>
        <v>7695</v>
      </c>
    </row>
    <row r="26" spans="1:10" s="328" customFormat="1" ht="16.5" customHeight="1" x14ac:dyDescent="0.25">
      <c r="A26" s="484" t="s">
        <v>527</v>
      </c>
      <c r="B26" s="564">
        <f t="shared" ref="B26:C26" si="8">+B24+B25</f>
        <v>23084</v>
      </c>
      <c r="C26" s="564">
        <f t="shared" si="8"/>
        <v>0</v>
      </c>
      <c r="D26" s="564">
        <f t="shared" si="4"/>
        <v>23084</v>
      </c>
      <c r="E26" s="348">
        <f t="shared" ref="E26" si="9">+E24+E25</f>
        <v>0</v>
      </c>
      <c r="F26" s="348"/>
      <c r="G26" s="348">
        <f t="shared" si="2"/>
        <v>0</v>
      </c>
      <c r="H26" s="566">
        <f t="shared" si="3"/>
        <v>23084</v>
      </c>
      <c r="I26" s="566">
        <f t="shared" si="3"/>
        <v>0</v>
      </c>
      <c r="J26" s="566">
        <f t="shared" si="3"/>
        <v>23084</v>
      </c>
    </row>
    <row r="27" spans="1:10" ht="16.5" customHeight="1" x14ac:dyDescent="0.25">
      <c r="A27" s="351" t="s">
        <v>528</v>
      </c>
      <c r="B27" s="609">
        <v>32376</v>
      </c>
      <c r="C27" s="609"/>
      <c r="D27" s="609">
        <f>B27+C27</f>
        <v>32376</v>
      </c>
      <c r="E27" s="352"/>
      <c r="F27" s="352"/>
      <c r="G27" s="352">
        <f t="shared" si="2"/>
        <v>0</v>
      </c>
      <c r="H27" s="464">
        <f t="shared" si="3"/>
        <v>32376</v>
      </c>
      <c r="I27" s="464">
        <f t="shared" si="3"/>
        <v>0</v>
      </c>
      <c r="J27" s="464">
        <f t="shared" si="3"/>
        <v>32376</v>
      </c>
    </row>
    <row r="28" spans="1:10" ht="16.5" customHeight="1" x14ac:dyDescent="0.25">
      <c r="A28" s="353" t="s">
        <v>529</v>
      </c>
      <c r="B28" s="611">
        <v>36141</v>
      </c>
      <c r="C28" s="611"/>
      <c r="D28" s="609">
        <f>B28+C28</f>
        <v>36141</v>
      </c>
      <c r="E28" s="354"/>
      <c r="F28" s="354"/>
      <c r="G28" s="354">
        <f t="shared" si="2"/>
        <v>0</v>
      </c>
      <c r="H28" s="465">
        <f t="shared" si="3"/>
        <v>36141</v>
      </c>
      <c r="I28" s="465">
        <f t="shared" si="3"/>
        <v>0</v>
      </c>
      <c r="J28" s="465">
        <f t="shared" si="3"/>
        <v>36141</v>
      </c>
    </row>
    <row r="29" spans="1:10" s="328" customFormat="1" ht="16.5" customHeight="1" thickBot="1" x14ac:dyDescent="0.3">
      <c r="A29" s="486" t="s">
        <v>530</v>
      </c>
      <c r="B29" s="610">
        <f t="shared" ref="B29:C29" si="10">SUM(B27:B28)</f>
        <v>68517</v>
      </c>
      <c r="C29" s="610">
        <f t="shared" si="10"/>
        <v>0</v>
      </c>
      <c r="D29" s="610">
        <f t="shared" si="4"/>
        <v>68517</v>
      </c>
      <c r="E29" s="487">
        <f t="shared" ref="E29" si="11">SUM(E27:E28)</f>
        <v>0</v>
      </c>
      <c r="F29" s="487"/>
      <c r="G29" s="487">
        <f t="shared" si="2"/>
        <v>0</v>
      </c>
      <c r="H29" s="567">
        <f t="shared" si="3"/>
        <v>68517</v>
      </c>
      <c r="I29" s="567">
        <f t="shared" si="3"/>
        <v>0</v>
      </c>
      <c r="J29" s="567">
        <f t="shared" si="3"/>
        <v>68517</v>
      </c>
    </row>
    <row r="30" spans="1:10" ht="16.5" customHeight="1" thickBot="1" x14ac:dyDescent="0.3">
      <c r="A30" s="466" t="s">
        <v>531</v>
      </c>
      <c r="B30" s="360">
        <f>+B29+B26+B23+B20+B19+B18</f>
        <v>217357</v>
      </c>
      <c r="C30" s="360"/>
      <c r="D30" s="360">
        <f t="shared" si="4"/>
        <v>217357</v>
      </c>
      <c r="E30" s="361">
        <f t="shared" ref="E30" si="12">+E29+E26+E23+E20+E19+E18</f>
        <v>0</v>
      </c>
      <c r="F30" s="361"/>
      <c r="G30" s="361">
        <f t="shared" si="2"/>
        <v>0</v>
      </c>
      <c r="H30" s="467">
        <f t="shared" si="3"/>
        <v>217357</v>
      </c>
      <c r="I30" s="467">
        <f t="shared" si="3"/>
        <v>0</v>
      </c>
      <c r="J30" s="467">
        <f t="shared" si="3"/>
        <v>217357</v>
      </c>
    </row>
    <row r="31" spans="1:10" ht="16.5" customHeight="1" x14ac:dyDescent="0.25">
      <c r="A31" s="357" t="s">
        <v>586</v>
      </c>
      <c r="B31" s="335"/>
      <c r="C31" s="335"/>
      <c r="D31" s="335">
        <f t="shared" si="4"/>
        <v>0</v>
      </c>
      <c r="E31" s="605">
        <v>17000</v>
      </c>
      <c r="F31" s="605"/>
      <c r="G31" s="605">
        <f>E31+F31</f>
        <v>17000</v>
      </c>
      <c r="H31" s="464">
        <f t="shared" si="3"/>
        <v>17000</v>
      </c>
      <c r="I31" s="464">
        <f t="shared" si="3"/>
        <v>0</v>
      </c>
      <c r="J31" s="464">
        <f t="shared" si="3"/>
        <v>17000</v>
      </c>
    </row>
    <row r="32" spans="1:10" ht="16.5" customHeight="1" x14ac:dyDescent="0.25">
      <c r="A32" s="357" t="s">
        <v>587</v>
      </c>
      <c r="B32" s="335"/>
      <c r="C32" s="335"/>
      <c r="D32" s="335">
        <f t="shared" si="4"/>
        <v>0</v>
      </c>
      <c r="E32" s="605">
        <v>14190</v>
      </c>
      <c r="F32" s="605"/>
      <c r="G32" s="605">
        <f t="shared" ref="G32:G39" si="13">E32+F32</f>
        <v>14190</v>
      </c>
      <c r="H32" s="464">
        <f t="shared" si="3"/>
        <v>14190</v>
      </c>
      <c r="I32" s="464">
        <f t="shared" si="3"/>
        <v>0</v>
      </c>
      <c r="J32" s="464">
        <f t="shared" si="3"/>
        <v>14190</v>
      </c>
    </row>
    <row r="33" spans="1:10" ht="16.5" customHeight="1" x14ac:dyDescent="0.25">
      <c r="A33" s="357" t="s">
        <v>588</v>
      </c>
      <c r="B33" s="488"/>
      <c r="C33" s="488"/>
      <c r="D33" s="488">
        <f t="shared" si="4"/>
        <v>0</v>
      </c>
      <c r="E33" s="605">
        <v>548</v>
      </c>
      <c r="F33" s="605"/>
      <c r="G33" s="605">
        <f t="shared" si="13"/>
        <v>548</v>
      </c>
      <c r="H33" s="464">
        <f t="shared" si="3"/>
        <v>548</v>
      </c>
      <c r="I33" s="464">
        <f t="shared" si="3"/>
        <v>0</v>
      </c>
      <c r="J33" s="464">
        <f t="shared" si="3"/>
        <v>548</v>
      </c>
    </row>
    <row r="34" spans="1:10" ht="16.5" customHeight="1" x14ac:dyDescent="0.25">
      <c r="A34" s="337" t="s">
        <v>532</v>
      </c>
      <c r="B34" s="338"/>
      <c r="C34" s="338"/>
      <c r="D34" s="338">
        <f t="shared" si="4"/>
        <v>0</v>
      </c>
      <c r="E34" s="364">
        <v>24932</v>
      </c>
      <c r="F34" s="364"/>
      <c r="G34" s="605">
        <f t="shared" si="13"/>
        <v>24932</v>
      </c>
      <c r="H34" s="464">
        <f t="shared" si="3"/>
        <v>24932</v>
      </c>
      <c r="I34" s="464">
        <f t="shared" si="3"/>
        <v>0</v>
      </c>
      <c r="J34" s="464">
        <f t="shared" si="3"/>
        <v>24932</v>
      </c>
    </row>
    <row r="35" spans="1:10" ht="16.5" customHeight="1" x14ac:dyDescent="0.25">
      <c r="A35" s="337" t="s">
        <v>534</v>
      </c>
      <c r="B35" s="338"/>
      <c r="C35" s="338"/>
      <c r="D35" s="338">
        <f t="shared" si="4"/>
        <v>0</v>
      </c>
      <c r="E35" s="339">
        <v>164</v>
      </c>
      <c r="F35" s="339"/>
      <c r="G35" s="605">
        <f t="shared" si="13"/>
        <v>164</v>
      </c>
      <c r="H35" s="464">
        <f t="shared" si="3"/>
        <v>164</v>
      </c>
      <c r="I35" s="464">
        <f t="shared" si="3"/>
        <v>0</v>
      </c>
      <c r="J35" s="464">
        <f t="shared" si="3"/>
        <v>164</v>
      </c>
    </row>
    <row r="36" spans="1:10" ht="16.5" customHeight="1" x14ac:dyDescent="0.25">
      <c r="A36" s="337" t="s">
        <v>533</v>
      </c>
      <c r="B36" s="338"/>
      <c r="C36" s="338"/>
      <c r="D36" s="338">
        <f t="shared" si="4"/>
        <v>0</v>
      </c>
      <c r="E36" s="339">
        <v>3100</v>
      </c>
      <c r="F36" s="339"/>
      <c r="G36" s="605">
        <f t="shared" si="13"/>
        <v>3100</v>
      </c>
      <c r="H36" s="464">
        <f t="shared" si="3"/>
        <v>3100</v>
      </c>
      <c r="I36" s="464">
        <f t="shared" si="3"/>
        <v>0</v>
      </c>
      <c r="J36" s="464">
        <f t="shared" si="3"/>
        <v>3100</v>
      </c>
    </row>
    <row r="37" spans="1:10" ht="16.5" customHeight="1" x14ac:dyDescent="0.25">
      <c r="A37" s="337" t="s">
        <v>630</v>
      </c>
      <c r="B37" s="338"/>
      <c r="C37" s="338"/>
      <c r="D37" s="338">
        <f t="shared" si="4"/>
        <v>0</v>
      </c>
      <c r="E37" s="339">
        <v>6552</v>
      </c>
      <c r="F37" s="339"/>
      <c r="G37" s="605">
        <f t="shared" si="13"/>
        <v>6552</v>
      </c>
      <c r="H37" s="464">
        <f t="shared" si="3"/>
        <v>6552</v>
      </c>
      <c r="I37" s="464">
        <f t="shared" si="3"/>
        <v>0</v>
      </c>
      <c r="J37" s="464">
        <f t="shared" si="3"/>
        <v>6552</v>
      </c>
    </row>
    <row r="38" spans="1:10" ht="16.5" customHeight="1" x14ac:dyDescent="0.25">
      <c r="A38" s="337" t="s">
        <v>589</v>
      </c>
      <c r="B38" s="338"/>
      <c r="C38" s="338"/>
      <c r="D38" s="338">
        <f t="shared" si="4"/>
        <v>0</v>
      </c>
      <c r="E38" s="339">
        <v>10040</v>
      </c>
      <c r="F38" s="339"/>
      <c r="G38" s="364">
        <f t="shared" si="13"/>
        <v>10040</v>
      </c>
      <c r="H38" s="837">
        <f t="shared" si="3"/>
        <v>10040</v>
      </c>
      <c r="I38" s="837">
        <f t="shared" si="3"/>
        <v>0</v>
      </c>
      <c r="J38" s="837">
        <f t="shared" si="3"/>
        <v>10040</v>
      </c>
    </row>
    <row r="39" spans="1:10" ht="16.5" customHeight="1" x14ac:dyDescent="0.25">
      <c r="A39" s="474" t="s">
        <v>744</v>
      </c>
      <c r="B39" s="355"/>
      <c r="C39" s="355"/>
      <c r="D39" s="355"/>
      <c r="E39" s="356">
        <v>11525</v>
      </c>
      <c r="F39" s="356"/>
      <c r="G39" s="605">
        <f t="shared" si="13"/>
        <v>11525</v>
      </c>
      <c r="H39" s="465">
        <f t="shared" si="3"/>
        <v>11525</v>
      </c>
      <c r="I39" s="465"/>
      <c r="J39" s="465"/>
    </row>
    <row r="40" spans="1:10" s="328" customFormat="1" ht="16.5" customHeight="1" x14ac:dyDescent="0.25">
      <c r="A40" s="358" t="s">
        <v>535</v>
      </c>
      <c r="B40" s="347">
        <v>0</v>
      </c>
      <c r="C40" s="347"/>
      <c r="D40" s="347">
        <f t="shared" si="4"/>
        <v>0</v>
      </c>
      <c r="E40" s="348">
        <f>SUM(E31:E39)</f>
        <v>88051</v>
      </c>
      <c r="F40" s="348">
        <f>SUM(F31:F39)</f>
        <v>0</v>
      </c>
      <c r="G40" s="348">
        <f t="shared" si="2"/>
        <v>88051</v>
      </c>
      <c r="H40" s="566">
        <f t="shared" si="3"/>
        <v>88051</v>
      </c>
      <c r="I40" s="566">
        <f t="shared" si="3"/>
        <v>0</v>
      </c>
      <c r="J40" s="566">
        <f t="shared" si="3"/>
        <v>88051</v>
      </c>
    </row>
    <row r="41" spans="1:10" s="328" customFormat="1" ht="16.5" customHeight="1" x14ac:dyDescent="0.25">
      <c r="A41" s="358" t="s">
        <v>585</v>
      </c>
      <c r="B41" s="564">
        <v>201</v>
      </c>
      <c r="C41" s="564"/>
      <c r="D41" s="564">
        <f>B41+C41</f>
        <v>201</v>
      </c>
      <c r="E41" s="348"/>
      <c r="F41" s="348"/>
      <c r="G41" s="348">
        <f t="shared" si="2"/>
        <v>0</v>
      </c>
      <c r="H41" s="566">
        <f t="shared" si="3"/>
        <v>201</v>
      </c>
      <c r="I41" s="566">
        <f t="shared" si="3"/>
        <v>0</v>
      </c>
      <c r="J41" s="566">
        <f t="shared" si="3"/>
        <v>201</v>
      </c>
    </row>
    <row r="42" spans="1:10" s="328" customFormat="1" ht="29.25" customHeight="1" x14ac:dyDescent="0.25">
      <c r="A42" s="346" t="s">
        <v>523</v>
      </c>
      <c r="B42" s="564">
        <v>17283</v>
      </c>
      <c r="C42" s="564"/>
      <c r="D42" s="564">
        <f t="shared" ref="D42:D47" si="14">B42+C42</f>
        <v>17283</v>
      </c>
      <c r="E42" s="348"/>
      <c r="F42" s="348"/>
      <c r="G42" s="348">
        <f t="shared" si="2"/>
        <v>0</v>
      </c>
      <c r="H42" s="566">
        <f t="shared" si="3"/>
        <v>17283</v>
      </c>
      <c r="I42" s="566">
        <f t="shared" si="3"/>
        <v>0</v>
      </c>
      <c r="J42" s="566">
        <f t="shared" si="3"/>
        <v>17283</v>
      </c>
    </row>
    <row r="43" spans="1:10" s="328" customFormat="1" ht="30.75" customHeight="1" x14ac:dyDescent="0.25">
      <c r="A43" s="346" t="s">
        <v>536</v>
      </c>
      <c r="B43" s="564">
        <v>6965</v>
      </c>
      <c r="C43" s="564"/>
      <c r="D43" s="564">
        <f t="shared" si="14"/>
        <v>6965</v>
      </c>
      <c r="E43" s="348"/>
      <c r="F43" s="348"/>
      <c r="G43" s="348">
        <f t="shared" si="2"/>
        <v>0</v>
      </c>
      <c r="H43" s="566">
        <f t="shared" si="3"/>
        <v>6965</v>
      </c>
      <c r="I43" s="566">
        <f t="shared" si="3"/>
        <v>0</v>
      </c>
      <c r="J43" s="566">
        <f t="shared" si="3"/>
        <v>6965</v>
      </c>
    </row>
    <row r="44" spans="1:10" s="328" customFormat="1" ht="16.5" customHeight="1" x14ac:dyDescent="0.25">
      <c r="A44" s="346" t="s">
        <v>538</v>
      </c>
      <c r="B44" s="347"/>
      <c r="C44" s="347"/>
      <c r="D44" s="564">
        <f t="shared" si="14"/>
        <v>0</v>
      </c>
      <c r="E44" s="348"/>
      <c r="F44" s="348"/>
      <c r="G44" s="348">
        <f t="shared" si="2"/>
        <v>0</v>
      </c>
      <c r="H44" s="566">
        <f t="shared" si="3"/>
        <v>0</v>
      </c>
      <c r="I44" s="566">
        <f t="shared" si="3"/>
        <v>0</v>
      </c>
      <c r="J44" s="566">
        <f t="shared" si="3"/>
        <v>0</v>
      </c>
    </row>
    <row r="45" spans="1:10" s="328" customFormat="1" ht="16.5" customHeight="1" x14ac:dyDescent="0.25">
      <c r="A45" s="358" t="s">
        <v>540</v>
      </c>
      <c r="B45" s="347"/>
      <c r="C45" s="347"/>
      <c r="D45" s="564">
        <f t="shared" si="14"/>
        <v>0</v>
      </c>
      <c r="E45" s="348"/>
      <c r="F45" s="348"/>
      <c r="G45" s="348">
        <f t="shared" si="2"/>
        <v>0</v>
      </c>
      <c r="H45" s="566">
        <f t="shared" si="3"/>
        <v>0</v>
      </c>
      <c r="I45" s="566">
        <f t="shared" si="3"/>
        <v>0</v>
      </c>
      <c r="J45" s="566">
        <f t="shared" si="3"/>
        <v>0</v>
      </c>
    </row>
    <row r="46" spans="1:10" s="328" customFormat="1" ht="16.5" customHeight="1" x14ac:dyDescent="0.25">
      <c r="A46" s="468" t="s">
        <v>739</v>
      </c>
      <c r="B46" s="469"/>
      <c r="C46" s="469">
        <v>646</v>
      </c>
      <c r="D46" s="564">
        <f t="shared" si="14"/>
        <v>646</v>
      </c>
      <c r="E46" s="470"/>
      <c r="F46" s="470"/>
      <c r="G46" s="348">
        <f t="shared" si="2"/>
        <v>0</v>
      </c>
      <c r="H46" s="566">
        <f t="shared" si="3"/>
        <v>0</v>
      </c>
      <c r="I46" s="566">
        <f t="shared" si="3"/>
        <v>646</v>
      </c>
      <c r="J46" s="566">
        <f t="shared" si="3"/>
        <v>646</v>
      </c>
    </row>
    <row r="47" spans="1:10" s="328" customFormat="1" ht="16.5" customHeight="1" thickBot="1" x14ac:dyDescent="0.3">
      <c r="A47" s="468" t="s">
        <v>786</v>
      </c>
      <c r="B47" s="469"/>
      <c r="C47" s="469"/>
      <c r="D47" s="564">
        <f t="shared" si="14"/>
        <v>0</v>
      </c>
      <c r="E47" s="470"/>
      <c r="F47" s="470">
        <v>7282</v>
      </c>
      <c r="G47" s="348">
        <f t="shared" si="2"/>
        <v>7282</v>
      </c>
      <c r="H47" s="566">
        <f t="shared" si="3"/>
        <v>0</v>
      </c>
      <c r="I47" s="567">
        <f t="shared" si="3"/>
        <v>7282</v>
      </c>
      <c r="J47" s="567">
        <f t="shared" si="3"/>
        <v>7282</v>
      </c>
    </row>
    <row r="48" spans="1:10" s="328" customFormat="1" ht="16.5" customHeight="1" thickBot="1" x14ac:dyDescent="0.3">
      <c r="A48" s="359" t="s">
        <v>542</v>
      </c>
      <c r="B48" s="360">
        <f>+B44+B43+B42+B30+B15+B41+B45+B46+B47</f>
        <v>364134</v>
      </c>
      <c r="C48" s="360">
        <f t="shared" ref="C48:D48" si="15">+C44+C43+C42+C30+C15+C41+C45+C46+C47</f>
        <v>766</v>
      </c>
      <c r="D48" s="360">
        <f t="shared" si="15"/>
        <v>364900</v>
      </c>
      <c r="E48" s="361">
        <f>+E40+E30+E47+E15</f>
        <v>88051</v>
      </c>
      <c r="F48" s="361">
        <f>+F40+F30+F47+F15</f>
        <v>7571</v>
      </c>
      <c r="G48" s="361">
        <f>+G40+G30+G47+G15</f>
        <v>95622</v>
      </c>
      <c r="H48" s="467">
        <f t="shared" si="3"/>
        <v>452185</v>
      </c>
      <c r="I48" s="467">
        <f t="shared" si="3"/>
        <v>8337</v>
      </c>
      <c r="J48" s="467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30"/>
      <c r="F51" s="330"/>
      <c r="G51" s="330"/>
    </row>
    <row r="52" spans="5:7" ht="25.5" hidden="1" customHeight="1" x14ac:dyDescent="0.25">
      <c r="E52" s="331"/>
      <c r="F52" s="331"/>
      <c r="G52" s="331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0"/>
      <c r="F57" s="330"/>
      <c r="G57" s="330"/>
    </row>
    <row r="58" spans="5:7" ht="12.75" hidden="1" customHeight="1" x14ac:dyDescent="0.25">
      <c r="E58" s="331"/>
      <c r="F58" s="331"/>
      <c r="G58" s="331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27" t="s">
        <v>545</v>
      </c>
    </row>
    <row r="67" spans="1:10" ht="25.5" hidden="1" x14ac:dyDescent="0.25">
      <c r="B67" s="329" t="s">
        <v>546</v>
      </c>
      <c r="D67" s="329" t="s">
        <v>546</v>
      </c>
      <c r="E67" s="332"/>
      <c r="F67" s="332"/>
      <c r="G67" s="332"/>
      <c r="H67" s="328" t="s">
        <v>547</v>
      </c>
      <c r="J67" s="328" t="s">
        <v>547</v>
      </c>
    </row>
    <row r="68" spans="1:10" hidden="1" x14ac:dyDescent="0.25">
      <c r="B68" s="329">
        <v>26</v>
      </c>
      <c r="D68" s="329">
        <v>26</v>
      </c>
      <c r="H68" s="328" t="e">
        <f>+#REF!+E68</f>
        <v>#REF!</v>
      </c>
      <c r="J68" s="328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28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62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15</vt:i4>
      </vt:variant>
    </vt:vector>
  </HeadingPairs>
  <TitlesOfParts>
    <vt:vector size="46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12.d Tételes mód BBK</vt:lpstr>
      <vt:lpstr>Táj 1. Több éves kihat</vt:lpstr>
      <vt:lpstr>Táj 2. Ei felh. - likvid.terv</vt:lpstr>
      <vt:lpstr>Táj 3. Konszolidált módosítás</vt:lpstr>
      <vt:lpstr>Táj 3.1. Tételes mód ÖNK</vt:lpstr>
      <vt:lpstr>Táj 3.2. Tételes mód PH</vt:lpstr>
      <vt:lpstr>Táj 3.3. Tételes mód Óvoda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'Táj 3. Konszolidált módosítás'!Nyomtatási_cím</vt:lpstr>
      <vt:lpstr>'Táj 3.1. Tételes mód ÖNK'!Nyomtatási_cím</vt:lpstr>
      <vt:lpstr>'1.mell. Mérleg'!Nyomtatási_terület</vt:lpstr>
      <vt:lpstr>'Táj 3.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SzSKatalinE</cp:lastModifiedBy>
  <cp:lastPrinted>2021-11-30T07:26:18Z</cp:lastPrinted>
  <dcterms:created xsi:type="dcterms:W3CDTF">2014-01-29T08:39:20Z</dcterms:created>
  <dcterms:modified xsi:type="dcterms:W3CDTF">2021-12-06T14:12:22Z</dcterms:modified>
</cp:coreProperties>
</file>